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200" windowHeight="10875" tabRatio="599" activeTab="8"/>
  </bookViews>
  <sheets>
    <sheet name="пр.2 РзПз" sheetId="1" r:id="rId1"/>
    <sheet name="пр.3 РзПзЦС ВР" sheetId="2" r:id="rId2"/>
    <sheet name="пр. 4 Вед" sheetId="3" r:id="rId3"/>
    <sheet name="пр. 5 МП" sheetId="4" r:id="rId4"/>
    <sheet name="пр.6 Ист." sheetId="5" r:id="rId5"/>
    <sheet name="пр.7 ПВЗ" sheetId="6" r:id="rId6"/>
    <sheet name="пр.8 ВД" sheetId="7" r:id="rId7"/>
    <sheet name="пр.9 Рез" sheetId="8" r:id="rId8"/>
    <sheet name="пр.10 ПНО" sheetId="9" r:id="rId9"/>
  </sheets>
  <externalReferences>
    <externalReference r:id="rId12"/>
  </externalReferences>
  <definedNames>
    <definedName name="_xlnm.Print_Titles" localSheetId="2">'пр. 4 Вед'!$8:$8</definedName>
    <definedName name="_xlnm.Print_Area" localSheetId="2">'пр. 4 Вед'!$A$1:$J$1278</definedName>
    <definedName name="_xlnm.Print_Area" localSheetId="3">'пр. 5 МП'!$A$1:$J$748</definedName>
    <definedName name="_xlnm.Print_Area" localSheetId="0">'пр.2 РзПз'!$A$1:$G$49</definedName>
    <definedName name="_xlnm.Print_Area" localSheetId="1">'пр.3 РзПзЦС ВР'!$A$1:$I$1152</definedName>
    <definedName name="_xlnm.Print_Area" localSheetId="4">'пр.6 Ист.'!$A$1:$F$36</definedName>
  </definedNames>
  <calcPr fullCalcOnLoad="1"/>
</workbook>
</file>

<file path=xl/sharedStrings.xml><?xml version="1.0" encoding="utf-8"?>
<sst xmlns="http://schemas.openxmlformats.org/spreadsheetml/2006/main" count="15625" uniqueCount="889">
  <si>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</si>
  <si>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</si>
  <si>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</si>
  <si>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</si>
  <si>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</si>
  <si>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</si>
  <si>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</si>
  <si>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</si>
  <si>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</si>
  <si>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</si>
  <si>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</si>
  <si>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</si>
  <si>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</si>
  <si>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</si>
  <si>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</si>
  <si>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</si>
  <si>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</si>
  <si>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</si>
  <si>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</si>
  <si>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</si>
  <si>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</si>
  <si>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</si>
  <si>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</si>
  <si>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</si>
  <si>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</si>
  <si>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</si>
  <si>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</si>
  <si>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</si>
  <si>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</si>
  <si>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Центры спортивной подготовки (сборные команды)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</si>
  <si>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</si>
  <si>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</si>
  <si>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</si>
  <si>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</si>
  <si>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</si>
  <si>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</si>
  <si>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</t>
  </si>
  <si>
    <t>Другие виды транспорта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</si>
  <si>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</si>
  <si>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</si>
  <si>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</si>
  <si>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</si>
  <si>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</si>
  <si>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</si>
  <si>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</si>
  <si>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</si>
  <si>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</si>
  <si>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</si>
  <si>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</si>
  <si>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</si>
  <si>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</si>
  <si>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</si>
  <si>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</si>
  <si>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</si>
  <si>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</si>
  <si>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</si>
  <si>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</si>
  <si>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</si>
  <si>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</si>
  <si>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</si>
  <si>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</si>
  <si>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</si>
  <si>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</si>
  <si>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</si>
  <si>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</si>
  <si>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</si>
  <si>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</si>
  <si>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</si>
  <si>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</si>
  <si>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</si>
  <si>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</si>
  <si>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</si>
  <si>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</si>
  <si>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</si>
  <si>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</si>
  <si>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</si>
  <si>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</si>
  <si>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</si>
  <si>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</si>
  <si>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</si>
  <si>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</si>
  <si>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</si>
  <si>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01 06 00 00 00 0000 000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</si>
  <si>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</si>
  <si>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</si>
  <si>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</si>
  <si>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</si>
  <si>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</si>
  <si>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</si>
  <si>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</si>
  <si>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Подготовка населения и организаций к действиям в чрезвычайной ситуации в мирное и военное время</t>
  </si>
  <si>
    <t>Иные источники внутреннего финансирования дефицитов бюджетов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</si>
  <si>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</si>
  <si>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</si>
  <si>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</si>
  <si>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</si>
  <si>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 xml:space="preserve"> 01 06 01 00 00 0000 000</t>
  </si>
  <si>
    <t>Акции и иные формы участия в капитале, находящиеся в государственной и муниципальной собственности</t>
  </si>
  <si>
    <t>Бюджетные кредиты от других бюджетов бюджетной системы Российской Федерации</t>
  </si>
  <si>
    <t xml:space="preserve">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</si>
  <si>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</si>
  <si>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</si>
  <si>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</si>
  <si>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</si>
  <si>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</si>
  <si>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</si>
  <si>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и муниципальных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</si>
  <si>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</si>
  <si>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</si>
  <si>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</si>
  <si>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</si>
  <si>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</si>
  <si>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</si>
  <si>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</si>
  <si>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</si>
  <si>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</si>
  <si>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</si>
  <si>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</si>
  <si>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</si>
  <si>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</si>
  <si>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бюджетным учреждениям</t>
  </si>
  <si>
    <t>610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</si>
  <si>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</si>
  <si>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</si>
  <si>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 бюджетным учреждениям на иные цели</t>
  </si>
  <si>
    <t>612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</si>
  <si>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</si>
  <si>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</si>
  <si>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</si>
  <si>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</si>
  <si>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</si>
  <si>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</si>
  <si>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</si>
  <si>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</si>
  <si>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</si>
  <si>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</si>
  <si>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</si>
  <si>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</si>
  <si>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</si>
  <si>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</si>
  <si>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</si>
  <si>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</si>
  <si>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</si>
  <si>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</si>
  <si>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</si>
  <si>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</si>
  <si>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</si>
  <si>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</si>
  <si>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</si>
  <si>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</si>
  <si>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</si>
  <si>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>Государственная программа Магаданской области  "Развитие образования в Магаданской области на 2014-2020 годы"</t>
  </si>
  <si>
    <t>Подпрограмма "Развитие дополнительного образования в Магаданской области на 2014-2020 годы"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</si>
  <si>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</si>
  <si>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</si>
  <si>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</si>
  <si>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</si>
  <si>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</si>
  <si>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</si>
  <si>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</si>
  <si>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</si>
  <si>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</si>
  <si>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</si>
  <si>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Подпрограмма "Управление развитием отрасли образования в Магаданской области" на 2014-2020 годы"</t>
  </si>
  <si>
    <t>Подпрограмма "Развитие общего образования в Магаданской области" на 2014-2020 годы"</t>
  </si>
  <si>
    <t>Другие вопросы в области социальной политики</t>
  </si>
  <si>
    <t>Государственная программа Магаданской области "Развитие образования в Магаданской области"  на 2014-2020 годы"</t>
  </si>
  <si>
    <t>Государственная программа Магаданской области "Развитие социальной защиты населения Магаданской области" на 2014-2018 годы"</t>
  </si>
  <si>
    <t>к  решению Собрания представителей Сусуманского городского округа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</si>
  <si>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</si>
  <si>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</si>
  <si>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</si>
  <si>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</si>
  <si>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</si>
  <si>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 xml:space="preserve">к  решению Собрания представителей Сусуманского городского округа </t>
  </si>
  <si>
    <t>к  решению  Собрания представителей Сусуманского городского округа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</si>
  <si>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</si>
  <si>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</si>
  <si>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</si>
  <si>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</si>
  <si>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</si>
  <si>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</si>
  <si>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</si>
  <si>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</si>
  <si>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</si>
  <si>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</si>
  <si>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 xml:space="preserve">7А 0 00 00000 </t>
  </si>
  <si>
    <t>Оказание материальной помощи, единовременной выплаты</t>
  </si>
  <si>
    <t>Оплата льготной подписки на газету "Горняк Севера"</t>
  </si>
  <si>
    <t>Предоставление льготы в пределах регионального стандарта нормативной площади жилого помещения труженикам тыла и вдовам участников Великой Отечественной войны, членам семей, совместно с ними проживающими</t>
  </si>
  <si>
    <t>Финансирование мероприятий, посвященных Победе в Великой Отечественной войне 1941-1945 годов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</si>
  <si>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</si>
  <si>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</si>
  <si>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</si>
  <si>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 xml:space="preserve">Частичное возмещение затрат в рамках заключенных договоров на приобретение товаров, работ, услуг для нужд сельхозпроизводителей </t>
  </si>
  <si>
    <t xml:space="preserve">7Ш 0 00 00000 </t>
  </si>
  <si>
    <t>Частичное возмещение транспортных расходов по доставке муки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</si>
  <si>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</si>
  <si>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</si>
  <si>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</si>
  <si>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>Замена щитов освещения</t>
  </si>
  <si>
    <t>Установка ограждения</t>
  </si>
  <si>
    <t xml:space="preserve">7Б 0 00 00000 </t>
  </si>
  <si>
    <t xml:space="preserve">7Ю 0 00 00000 </t>
  </si>
  <si>
    <t>Укрепление материально- технической базы</t>
  </si>
  <si>
    <t>Обслуживание АПС, КТС, систем дублирования сигналов о срабатывании АПС</t>
  </si>
  <si>
    <t xml:space="preserve">7П 0 00 00000 </t>
  </si>
  <si>
    <t>Проведение проверок исправности и ремонт систем противопожарного водоснабжения, приобретение и обслуживание гидрантов, замена пожарных шкафов</t>
  </si>
  <si>
    <t>Муниципальная программа "Лето-детям  на 2016 год"</t>
  </si>
  <si>
    <t>Оплата труда воспитателей и сотрудников летних оздоровительных лагерей</t>
  </si>
  <si>
    <t xml:space="preserve">7Л 0 00 00000 </t>
  </si>
  <si>
    <t xml:space="preserve">Укрепление материально- технической базы </t>
  </si>
  <si>
    <t>Обеспечение учащихся горячим питанием</t>
  </si>
  <si>
    <t>Обработка сгораемых конструкций огнезащитными составами</t>
  </si>
  <si>
    <t>Возмещение части родительской платы стоимости путевки в летних оздоровительных лагерях дневного пребывания</t>
  </si>
  <si>
    <t>Муниципальная  программа " Одарённые дети  на 2016 год"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</si>
  <si>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</si>
  <si>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</si>
  <si>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</si>
  <si>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 xml:space="preserve">7У 0 00 00000 </t>
  </si>
  <si>
    <t>Мероприятия патриотической направленности</t>
  </si>
  <si>
    <t xml:space="preserve">7В 0 00 00000 </t>
  </si>
  <si>
    <t xml:space="preserve">7Т 0 00 00000 </t>
  </si>
  <si>
    <t>Оказание социальной помощи детям- сиротам, детям, оставшимся без попечения родителей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</si>
  <si>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</si>
  <si>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</si>
  <si>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</si>
  <si>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</si>
  <si>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</si>
  <si>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</si>
  <si>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</si>
  <si>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</si>
  <si>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</si>
  <si>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>Создание и поддержка клубных формирований</t>
  </si>
  <si>
    <t xml:space="preserve">7Е 0 00 00000 </t>
  </si>
  <si>
    <t>Проведение и участие в районных, областных фестивалях, выставках, конкурсах, концертах</t>
  </si>
  <si>
    <t>Оздоровительная, спортивно- массовая работа с населением, проведение районных мероприятий</t>
  </si>
  <si>
    <t>Устройство спортивных сооружений</t>
  </si>
  <si>
    <t xml:space="preserve">7Ф 0 00 00000 </t>
  </si>
  <si>
    <t xml:space="preserve">7Ж 0 00 00000 </t>
  </si>
  <si>
    <t xml:space="preserve">Привлечение общественности к участию в добровольных формированиях правоохранительной направленности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</si>
  <si>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</si>
  <si>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</si>
  <si>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</si>
  <si>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</si>
  <si>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</si>
  <si>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</si>
  <si>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Национальная экономика</t>
  </si>
  <si>
    <t>Поддержка дорожного хозяйства</t>
  </si>
  <si>
    <t>Д8 0 00 00000</t>
  </si>
  <si>
    <t>В8 0 00 00000</t>
  </si>
  <si>
    <t>Р2 0 00 00000</t>
  </si>
  <si>
    <t>Г5 0 00 00000</t>
  </si>
  <si>
    <t>Д5 0 00 00000</t>
  </si>
  <si>
    <t>Ж5 0 00 00000</t>
  </si>
  <si>
    <t>Д4 0 00 00000</t>
  </si>
  <si>
    <t>Ч9 0 00 00000</t>
  </si>
  <si>
    <t>К5 0 00 00000</t>
  </si>
  <si>
    <t>Р7 0 00 00000</t>
  </si>
  <si>
    <t xml:space="preserve"> П5 0 00 00000</t>
  </si>
  <si>
    <t xml:space="preserve"> М6 0  00 00000</t>
  </si>
  <si>
    <t>П7 0 00 00000</t>
  </si>
  <si>
    <t>М8 0 00 00000</t>
  </si>
  <si>
    <t>Д7 0 00 00000</t>
  </si>
  <si>
    <t>Ш7 0 00 00000</t>
  </si>
  <si>
    <t>В7 0 00 00000</t>
  </si>
  <si>
    <t>Ц7 0 00 00000</t>
  </si>
  <si>
    <t>Б8 0 00 00000</t>
  </si>
  <si>
    <t>С8 0 00 00000</t>
  </si>
  <si>
    <t>С7 0 00 00000</t>
  </si>
  <si>
    <t xml:space="preserve"> Т4 0  00 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</si>
  <si>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местностях.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</si>
  <si>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</si>
  <si>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</si>
  <si>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</si>
  <si>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</si>
  <si>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</si>
  <si>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</si>
  <si>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</si>
  <si>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</si>
  <si>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</si>
  <si>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 xml:space="preserve"> Основное мероприятие "Реализация мероприятий по оказанию адресной помощи населению" </t>
  </si>
  <si>
    <t>Р2 7 00 00210</t>
  </si>
  <si>
    <t>Р2 7 00 00000</t>
  </si>
  <si>
    <t>Р2 8 00 00000</t>
  </si>
  <si>
    <t>Р2 8 00 00210</t>
  </si>
  <si>
    <t>Основное мероприятие "Повышение финансовой устойчивости сельского хозяйства"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</si>
  <si>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</si>
  <si>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>Расходы на обеспечение деятельности (оказание услуг) муниципальных учреждений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</si>
  <si>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учреждениями"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</si>
  <si>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</si>
  <si>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</si>
  <si>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</si>
  <si>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</si>
  <si>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"Профилактика  безнадзорности, правонарушений и вредных привычек несовершеннолетних"</t>
  </si>
  <si>
    <t>Основное мероприятие "Социальная защита детей- сирот, детей, оставшихся без попечения родителей и детей из семей "группы риска""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</si>
  <si>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</si>
  <si>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</si>
  <si>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</si>
  <si>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</si>
  <si>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"Сохранение культурного наследия и творческого потенциала"</t>
  </si>
  <si>
    <t>Основное мероприятие "Поддержка молодых семей в решении жилищной проблемы"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</si>
  <si>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</si>
  <si>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</si>
  <si>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Основное мероприятие "Защита населения и территории от чрезвычайных ситуаций, в том числе от наводнений и пожаров"</t>
  </si>
  <si>
    <t>Ведомственная целевая программа "Развитие государственно-правовых институтов Магаданской области" на 2016 - 2017 годы</t>
  </si>
  <si>
    <t>33 0 00 00000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</si>
  <si>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</si>
  <si>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33 0 03 59300</t>
  </si>
  <si>
    <t>Государственная программа Магаданской области "Развитие образования в Магаданской области" на 2014-2020 годы"</t>
  </si>
  <si>
    <t>02 0 00 00000</t>
  </si>
  <si>
    <t>02 Б 00 00000</t>
  </si>
  <si>
    <t>Основное мероприятие "Обеспечение реализации подпрограммы"</t>
  </si>
  <si>
    <t>02 Б 02 00000</t>
  </si>
  <si>
    <t>02 Б 02 74020</t>
  </si>
  <si>
    <t>33 0 04 74030</t>
  </si>
  <si>
    <t>Субвенции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</si>
  <si>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66 Э 00 74040</t>
  </si>
  <si>
    <t>21 0 00 00000</t>
  </si>
  <si>
    <t>Подпрограмма "Создание условий для реализации государственной программы" на 2014-2018 годы"</t>
  </si>
  <si>
    <t>21 5 00 00000</t>
  </si>
  <si>
    <t>Основное мероприятие «Обеспечение выполнения функций государственными органами и находящихся в их введении государственными учреждениями»</t>
  </si>
  <si>
    <t>21 5 01 00000</t>
  </si>
  <si>
    <t>21 5 01 74090</t>
  </si>
  <si>
    <t>Мобилизационная и вневойсковая подготовка</t>
  </si>
  <si>
    <t>Образование</t>
  </si>
  <si>
    <t>02 Б 02 74060</t>
  </si>
  <si>
    <t>02 Б 02 74070</t>
  </si>
  <si>
    <t>02 Б 02 74120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</si>
  <si>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</si>
  <si>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02 Б 02 75010</t>
  </si>
  <si>
    <t>02 6 00 00000</t>
  </si>
  <si>
    <t>Основное мероприятие "Развитие муниципальных лагерей с дневным пребыванием детей"</t>
  </si>
  <si>
    <t>02 6 03 00000</t>
  </si>
  <si>
    <t>02 6 03 73210</t>
  </si>
  <si>
    <t>02 2 00 00000</t>
  </si>
  <si>
    <t>Основное мероприятие "Развитие государственных и муниципальных организаций общего образования"</t>
  </si>
  <si>
    <t>02 2 02 00000</t>
  </si>
  <si>
    <t>02 2 02 73440</t>
  </si>
  <si>
    <t>02 Б 02 74050</t>
  </si>
  <si>
    <t>02 Б 02 74130</t>
  </si>
  <si>
    <t>02 3 00 00000</t>
  </si>
  <si>
    <t>02 Б 02 74090</t>
  </si>
  <si>
    <t>04 0 00 00000</t>
  </si>
  <si>
    <t>Основное мероприятие "Мероприятия в области коммунального хозяйства"</t>
  </si>
  <si>
    <t>Дворцы, дома культуры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</si>
  <si>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</si>
  <si>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</si>
  <si>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Р2 4 00 L5930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</si>
  <si>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</si>
  <si>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</si>
  <si>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</si>
  <si>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</si>
  <si>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</si>
  <si>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"Совершенствование системы укрепления здоровья учащихся и воспитанников образовательных организаций"</t>
  </si>
  <si>
    <t>Муниципальная программа "Профилактика правонарушений и борьба с преступностью на территории Сусуманского городского округа  на 2016 год"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</si>
  <si>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2016 год"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</si>
  <si>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2016 год"</t>
  </si>
  <si>
    <t>Муниципальная программа  "Поддержка агропромышленного комплекса Сусуманского городского округа на 2016 год"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</si>
  <si>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2016 год"</t>
  </si>
  <si>
    <t>Муниципальная  программа  "Здоровье обучающихся и воспитанников в Сусуманском городском округе  на 2016 год"</t>
  </si>
  <si>
    <t>Муниципальная программа  "Пожарная безопасность в Сусуманском городском округе на 2016 год"</t>
  </si>
  <si>
    <t>Муниципальная программа "Создание временных дополнительных и сохранение рабочих мест в Сусуманском городском округе на 2016 год"</t>
  </si>
  <si>
    <t>Муниципальная программа "Патриотическое воспитание  жителей Сусуманского городского округа  на 2016 год"</t>
  </si>
  <si>
    <t>Муниципальная  программа  "Развитие образования в Сусуманском городском округе  на 2016 год"</t>
  </si>
  <si>
    <t>Муниципальная программа  "Развитие молодежной политики в Сусуманском городском округе  на 2016 год"</t>
  </si>
  <si>
    <t>Муниципальная программа "Развитие культуры в Сусуманском городском округе на 2016 год"</t>
  </si>
  <si>
    <t>Муниципальная программа "Обеспечение жильем молодых семей  в Сусуманском городском округе  на 2016 год"</t>
  </si>
  <si>
    <t>Муниципальная программа " Развитие физической культуры и спорта в Сусуманском городском округе на 2016 год"</t>
  </si>
  <si>
    <t>Муниципальная программа "Управление муниципальным имуществом  Сусуманского городского округа на 2016 год"</t>
  </si>
  <si>
    <t>7Щ 0 00 00000</t>
  </si>
  <si>
    <t>Муниципальная программа "Благоустройство Сусуманского городского округа на 2016 год"</t>
  </si>
  <si>
    <t>Основное мероприятие "Обеспечение реализации программы"</t>
  </si>
  <si>
    <t xml:space="preserve">Основное мероприятие "Мероприятия в области жилищного хозяйства" </t>
  </si>
  <si>
    <t>Капитальный ремонт муниципального жилищного фонда</t>
  </si>
  <si>
    <t>Муниципальная программа "Финансовая поддержка организациям коммунального комплекса  Сусуманского городского округа на 2016 год"</t>
  </si>
  <si>
    <t>7Я 0 00 00000</t>
  </si>
  <si>
    <t>Жилищно- коммунальное хозяйство</t>
  </si>
  <si>
    <t>Подпрограмма "Оказание государственных услуг в сфере культуры и отраслевого образования Магаданской области" на 2014-2020 годы"</t>
  </si>
  <si>
    <t>04 5 00 00000</t>
  </si>
  <si>
    <t>Ведомственная целевая программа "Развитие государственно-правовых институтов Магаданской области" на 2016 - 2017 годы"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</si>
  <si>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</si>
  <si>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</si>
  <si>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Прочие мероприятия в области коммунального хозяйства</t>
  </si>
  <si>
    <t>Проведение замеров сопротивления изоляции электросетей и электрооборудования</t>
  </si>
  <si>
    <t>Основное мероприятие "Материально- техническое обеспечение охраны труда, техники безопасности, террористической защищенности"</t>
  </si>
  <si>
    <t>Проведение конкурсов, спартакиад, соревнований, акций и других мероприятий</t>
  </si>
  <si>
    <t>Организационные мероприятия, воспитательная работа в летних оздоровительных лагерях, трудовых объединениях школьников Сусуманского городского округа</t>
  </si>
  <si>
    <t>04 5 01 75010</t>
  </si>
  <si>
    <t>Обеспечение выполнения функций  государственными органами и находящимися в их ведении государственными учреждениями</t>
  </si>
  <si>
    <t>04 5 01 00000</t>
  </si>
  <si>
    <t>Субсидии бюджетам городских округов на осуществление мероприятий по реконструкции и капитальному ремонту общеобразовательных организаций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</si>
  <si>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</t>
  </si>
  <si>
    <t>Субвенции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</si>
  <si>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</si>
  <si>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</si>
  <si>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бюджетам городских округов на совершенствование питания учащихся в общеобразовательных организациях</t>
  </si>
  <si>
    <t>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</si>
  <si>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Субвенции бюджетам городских округов на обеспечение ежемесячного денежного вознаграждения за классное руководство</t>
  </si>
  <si>
    <t>02 3 01 00000</t>
  </si>
  <si>
    <t>Основное мероприятие "Развитие государственных и муниципальных организаций дополнительного образования"</t>
  </si>
  <si>
    <t>Субсидии бюджетам городских округов на укрепление материально-технической базы организаций дополнительного образования</t>
  </si>
  <si>
    <t>02 3 01 73190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</si>
  <si>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</t>
  </si>
  <si>
    <t>Государственная программа Магаданской области  "Развитие культуры и туризма в Магаданской области" на 2014-2020 годы"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</si>
  <si>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</si>
  <si>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</si>
  <si>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112</t>
  </si>
  <si>
    <t>110</t>
  </si>
  <si>
    <t>111</t>
  </si>
  <si>
    <t>119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</si>
  <si>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</si>
  <si>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</si>
  <si>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</si>
  <si>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</si>
  <si>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</si>
  <si>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</si>
  <si>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</si>
  <si>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</si>
  <si>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</si>
  <si>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</si>
  <si>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</si>
  <si>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</si>
  <si>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</si>
  <si>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</si>
  <si>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</si>
  <si>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</si>
  <si>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</si>
  <si>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</si>
  <si>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</si>
  <si>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</si>
  <si>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</si>
  <si>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</si>
  <si>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</si>
  <si>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7Т 0 01 00000 </t>
  </si>
  <si>
    <t xml:space="preserve">7Т 0 01 95000 </t>
  </si>
  <si>
    <t xml:space="preserve">7А 0 01 00000 </t>
  </si>
  <si>
    <t xml:space="preserve">7А 0 01 91200 </t>
  </si>
  <si>
    <t xml:space="preserve">7А 0 01 91300 </t>
  </si>
  <si>
    <t xml:space="preserve">7А 0 01 91400 </t>
  </si>
  <si>
    <t xml:space="preserve">7А 0 01 91500 </t>
  </si>
  <si>
    <t xml:space="preserve">7Г 0 01 00000 </t>
  </si>
  <si>
    <t>7Щ 0 01 00000</t>
  </si>
  <si>
    <t>7Щ 0 01 00550</t>
  </si>
  <si>
    <t>7Щ 0 01 00990</t>
  </si>
  <si>
    <t xml:space="preserve">7Ш 0 01 00000 </t>
  </si>
  <si>
    <t xml:space="preserve">7Ш 0 01 94000 </t>
  </si>
  <si>
    <t xml:space="preserve">7И 0 01 00000 </t>
  </si>
  <si>
    <t xml:space="preserve">7Н 0 01 00000 </t>
  </si>
  <si>
    <t xml:space="preserve">7Б 0 01 00000 </t>
  </si>
  <si>
    <t xml:space="preserve">7Б 0 01 91600 </t>
  </si>
  <si>
    <t xml:space="preserve">7Ю 0 01 00000 </t>
  </si>
  <si>
    <t xml:space="preserve">7Ю 0 01 92500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</si>
  <si>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</si>
  <si>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</si>
  <si>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</si>
  <si>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</si>
  <si>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7Б 0 01 91700 </t>
  </si>
  <si>
    <t xml:space="preserve">7Б 0 01 91800 </t>
  </si>
  <si>
    <t xml:space="preserve">7Ю 0 01 93700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</si>
  <si>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</si>
  <si>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</si>
  <si>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</si>
  <si>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</si>
  <si>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</si>
  <si>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</si>
  <si>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</si>
  <si>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</si>
  <si>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7Л 0 01 00000 </t>
  </si>
  <si>
    <t xml:space="preserve">7Л 0 01 93400 </t>
  </si>
  <si>
    <t xml:space="preserve">7Л 0 01 93500 </t>
  </si>
  <si>
    <t xml:space="preserve">7Л 0 01 92500 </t>
  </si>
  <si>
    <t xml:space="preserve">7Л 0 01 93600 </t>
  </si>
  <si>
    <t xml:space="preserve">7Т 0 03 00000 </t>
  </si>
  <si>
    <t xml:space="preserve">7Т 0 03 93800 </t>
  </si>
  <si>
    <t xml:space="preserve">7Т 0 04 00000 </t>
  </si>
  <si>
    <t xml:space="preserve">7Т 0 04 95200 </t>
  </si>
  <si>
    <t xml:space="preserve">7Р 0 01 00000 </t>
  </si>
  <si>
    <t xml:space="preserve">7Р 0 01 91900 </t>
  </si>
  <si>
    <t xml:space="preserve">7Р 0 01 92100 </t>
  </si>
  <si>
    <t xml:space="preserve">7П 0 01 94300 </t>
  </si>
  <si>
    <t xml:space="preserve">7М 0 01 00000 </t>
  </si>
  <si>
    <t xml:space="preserve">7М 0 01 92500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</si>
  <si>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</si>
  <si>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</si>
  <si>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</si>
  <si>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</si>
  <si>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</si>
  <si>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7Т 0 02 00000 </t>
  </si>
  <si>
    <t xml:space="preserve">7Т 0 02 95100 </t>
  </si>
  <si>
    <t xml:space="preserve">7Е 0 01 00000 </t>
  </si>
  <si>
    <t xml:space="preserve">7Е 0 01 96000 </t>
  </si>
  <si>
    <t xml:space="preserve">7Е 0 01 96100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</si>
  <si>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</si>
  <si>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</si>
  <si>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</si>
  <si>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</si>
  <si>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 xml:space="preserve">7Ф 0 01 93200 </t>
  </si>
  <si>
    <t>7Я 0 01 00000</t>
  </si>
  <si>
    <t>7Я 0 01 98700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</si>
  <si>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2016 год"</t>
  </si>
  <si>
    <t>Г5 0 01 00000</t>
  </si>
  <si>
    <t>Г5 0 01 00550</t>
  </si>
  <si>
    <t>Расходы, не отнесенные к публичным нормативным обязательствам</t>
  </si>
  <si>
    <t>Основное мероприятие "Гарантии и компенсации"</t>
  </si>
  <si>
    <t>Г5 0 01 00560</t>
  </si>
  <si>
    <t>Основное мероприятие "Гарантии и компенсации "</t>
  </si>
  <si>
    <t xml:space="preserve"> М6 0  01 00000</t>
  </si>
  <si>
    <t>Ж5 0 01 00000</t>
  </si>
  <si>
    <t>Ж5 0 01 08020</t>
  </si>
  <si>
    <t>П7 0 01 00000</t>
  </si>
  <si>
    <t>П7 0 01 00990</t>
  </si>
  <si>
    <t>Д7 0 01 00000</t>
  </si>
  <si>
    <t>Д7 0 01 00990</t>
  </si>
  <si>
    <t>Ш7 0 01 00000</t>
  </si>
  <si>
    <t>Ш7 0 01 00990</t>
  </si>
  <si>
    <t>В7 0 01 00000</t>
  </si>
  <si>
    <t>В7 0 01 00990</t>
  </si>
  <si>
    <t>Ц7 0 01 00000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</si>
  <si>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</si>
  <si>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</si>
  <si>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Д8 0 01 00000</t>
  </si>
  <si>
    <t>Д8 0 01 00990</t>
  </si>
  <si>
    <t>М8 0 01 00000</t>
  </si>
  <si>
    <t>Финансовое обеспечение деятельности музея</t>
  </si>
  <si>
    <t>Б8 0 01 00000</t>
  </si>
  <si>
    <t>Б8 0 01 00990</t>
  </si>
  <si>
    <t>Финансовое обеспечение деятельности группы хозяйственного обслуживания</t>
  </si>
  <si>
    <t>С7 0 01 00000</t>
  </si>
  <si>
    <t>С7 0 01 00990</t>
  </si>
  <si>
    <t>Мероприятия в области спорта и  физической культуры</t>
  </si>
  <si>
    <t>Ж5 0 01 08030</t>
  </si>
  <si>
    <t>К5 0 01 00000</t>
  </si>
  <si>
    <t>Возмещение убытков низкоразрядных бань по тарифам, не обеспечивающим возмещения издержек</t>
  </si>
  <si>
    <t>К5 0 01 08040</t>
  </si>
  <si>
    <t>К5 0 01 08050</t>
  </si>
  <si>
    <t>Содержание и обслуживание казны муниципального образования</t>
  </si>
  <si>
    <t>Оценка недвижимости, признание прав и регулирование отношений по государственной собственности</t>
  </si>
  <si>
    <t xml:space="preserve"> М6 0  01 00480</t>
  </si>
  <si>
    <t xml:space="preserve"> М6 0  01 00490</t>
  </si>
  <si>
    <t>Финансовое обеспечение деятельности Единой дежурно- диспетчерской службы</t>
  </si>
  <si>
    <t>Ч9 0 01 00000</t>
  </si>
  <si>
    <t>Мероприятия в области дорожного хозяйства</t>
  </si>
  <si>
    <t>Д4 0 00 00150</t>
  </si>
  <si>
    <t>Расходы на доплату к пенсиям муниципальных служащих</t>
  </si>
  <si>
    <t xml:space="preserve"> П5 0 00 05030</t>
  </si>
  <si>
    <t>Ч9 0 01 08190</t>
  </si>
  <si>
    <t>Д5 0 00 08610</t>
  </si>
  <si>
    <t>Резервные фонды местных администраций</t>
  </si>
  <si>
    <t>Р7 0 00 07050</t>
  </si>
  <si>
    <t xml:space="preserve"> Т4 0  00 03170</t>
  </si>
  <si>
    <t>Субсидии на проведение отдельных мероприятий по другим видам транспорта</t>
  </si>
  <si>
    <t>В8 0 00 08310</t>
  </si>
  <si>
    <t>М8 0 01 08410</t>
  </si>
  <si>
    <t>Ц7 0 01 08520</t>
  </si>
  <si>
    <t>Ц7 0 01 08530</t>
  </si>
  <si>
    <t>С8 0 00 08720</t>
  </si>
  <si>
    <t xml:space="preserve">Руководство и управление в сфере установленных функций органов местного  самоуправления </t>
  </si>
  <si>
    <t>721</t>
  </si>
  <si>
    <t>722</t>
  </si>
  <si>
    <t>723</t>
  </si>
  <si>
    <t>724</t>
  </si>
  <si>
    <t>725</t>
  </si>
  <si>
    <t>726</t>
  </si>
  <si>
    <t>727</t>
  </si>
  <si>
    <t>Муниципальная  программа "Оказание адресной помощи населению Сусуманского городского округа  на 2016 год"</t>
  </si>
  <si>
    <t>Муниципальная программа "Развитие торговли  на территории Сусуманского городского округа на 2016 год"</t>
  </si>
  <si>
    <t>Фонд оплаты труда государственных (муниципальных) органов</t>
  </si>
  <si>
    <t>02 2 02 73100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</si>
  <si>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30 декабря 2004 года № 528-ОЗ)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</si>
  <si>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</si>
  <si>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</si>
  <si>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Подпрограмма "Организация и обеспечение отдыха и оздоровления детей в Магаданской области" на 2014-2020 годы"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</si>
  <si>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</si>
  <si>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</si>
  <si>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</si>
  <si>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</si>
  <si>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</si>
  <si>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Основное мероприятие "Создание временных дополнительных рабочих мест в целях трудовой адаптации несовершеннолетних граждан в возрасте от 14 до 18 лет в свободное от учебы время (в том числе детей- сирот)</t>
  </si>
  <si>
    <t>Водное хозяйство</t>
  </si>
  <si>
    <t>Государственная программа Магаданской области "Природные ресурсы и экология Магаданской области" на 2014- 2020 годы"</t>
  </si>
  <si>
    <t>17 0 00 00000</t>
  </si>
  <si>
    <t>Подпрограмма "Развитие водохозяйственного комплекса Магаданской области" на 2014-2020 годы"</t>
  </si>
  <si>
    <t>17 3 00 00000</t>
  </si>
  <si>
    <t>Основное мероприятие "Берегоукрепление и устройство дамбы обвалования в г. Сусумане на р.Берелех"</t>
  </si>
  <si>
    <t>17 3 10 00000</t>
  </si>
  <si>
    <t>17 3 10 R0160</t>
  </si>
  <si>
    <t>Управление городского хозяйства и жизнеобеспечения территории Сусуманского городского округа</t>
  </si>
  <si>
    <t>14 0 00 00000</t>
  </si>
  <si>
    <t>14 0 00 09502</t>
  </si>
  <si>
    <t>Государственная программа Магаданской области "Переселение в 2013-2017 годы граждан из жилых помещений в многоквартирных домах, признанных в установленном порядке до 01 января 2012 года аварийными и подлежащими сносу или реконструкции в связи с
физическим износом в процессе их эксплуатации, с привлечением средств государственной корпорации – Фонда содействия реформированию жилищно-коммунального хозяйства"</t>
  </si>
  <si>
    <t>22 0 00 00000</t>
  </si>
  <si>
    <t>22 6 00 00000</t>
  </si>
  <si>
    <t>Расходы, осуществляемые за счет остатков средств областного бюджета прошлых лет</t>
  </si>
  <si>
    <t>22 6 00 44440</t>
  </si>
  <si>
    <t>Обеспечение мероприятий по переселению граждан из аварийного жилищного фонда за счет средств, поступающих от Фонда содействия реформированию жилищно- коммунального хозяйства</t>
  </si>
  <si>
    <t>Государственная программа Магаданской области "Обеспечение доступным и комфортным жильем жителей Магаданской области" на 2014-2020 годы"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</si>
  <si>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2014-2020 годы"</t>
  </si>
  <si>
    <t>Субсидии бюджетам городских округов на организацию отдыха и оздоровления детей в лагерях дневного пребывания</t>
  </si>
  <si>
    <t>Муниципальная программа  "Берегоукрепление и устройство дамбы обвалования в городе Сусумане на р. Берелех на 2015 год"</t>
  </si>
  <si>
    <t>Основное мероприятие "Реализация объекта "Берегоукрепление и устройство дамбы обвалования в городе Сусумане на р. Берелех"</t>
  </si>
  <si>
    <t>7Э 0 00 00000</t>
  </si>
  <si>
    <t>7Э 0 01 00000</t>
  </si>
  <si>
    <t>7Э 0 01 L0160</t>
  </si>
  <si>
    <t>Софинансирование мероприятия  "Берегоукрепление и устройство дамбы обвалования в г. Сусумане на р. Берелех"</t>
  </si>
  <si>
    <t xml:space="preserve">Основное мероприятие "Строительство 16- квартирного жилого дома из каркасно- панельных деревянных элементов а г. Сусумане" </t>
  </si>
  <si>
    <t>Ж5 0 02 00000</t>
  </si>
  <si>
    <t>Погашение кредиторской задолженности за выполненные работы в рамках заключенных соглашений прошлых лет</t>
  </si>
  <si>
    <t>Ж5 0 02 08080</t>
  </si>
  <si>
    <t>Проценты за пользование чужими денежными средствами на основании вступивших в законную силу судебных актов</t>
  </si>
  <si>
    <t>Ж5 0 02 08090</t>
  </si>
  <si>
    <t>Исполнение судебных актов</t>
  </si>
  <si>
    <t>830</t>
  </si>
  <si>
    <t>831</t>
  </si>
  <si>
    <t>Субсидии на мероприятия федеральной целевой программы "Развитие водохозяйственного комплекса Российской Федерации в 2012-2020 годах" за счет средств областного бюджета</t>
  </si>
  <si>
    <t>Муниципальная программа  "Берегоукрепление и устройство дамбы обвалования в городе Сусумане на р. Берелех на 2016 год"</t>
  </si>
  <si>
    <t>Софинансирование мероприятия  "Берегоукрепление и устройство дамбы обвалования в г. Сусумане на р.Берелех"</t>
  </si>
  <si>
    <t xml:space="preserve">Исполнение судебных актов Российской Федерациии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
</t>
  </si>
  <si>
    <t xml:space="preserve">Прочие мероприятия по благоустройству </t>
  </si>
  <si>
    <t>К6 0 00 00000</t>
  </si>
  <si>
    <t xml:space="preserve">Основное мероприятие " Организация повышения квалификации лиц, замещающих муниципальные должности"                          </t>
  </si>
  <si>
    <t>7R 0 00 00000</t>
  </si>
  <si>
    <t>7R 0 01 00000</t>
  </si>
  <si>
    <t xml:space="preserve">Субсидии на мероприятия федеральной целевой программы "Развитие водохозяйственного комплекса Российской Федерации в 2012-2020 годах" </t>
  </si>
  <si>
    <t>17 3 10 50160</t>
  </si>
  <si>
    <t>Приобретение имущества  в казну</t>
  </si>
  <si>
    <t>М6 0 01 00470</t>
  </si>
  <si>
    <t>Неустойка и судебные расходы на основании вступивших в законную силу судебных актов</t>
  </si>
  <si>
    <t>Д4 0 00 08190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</si>
  <si>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
</t>
  </si>
  <si>
    <t>Муниципальная программа "Содержание автомобильных дорог общего пользования местного значения Сусуманского городского округа на 2016 год"</t>
  </si>
  <si>
    <t>Содержание автомобильных дорог общего пользования местного значения Сусуманского городского округа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</si>
  <si>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</si>
  <si>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</si>
  <si>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</si>
  <si>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</si>
  <si>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414</t>
  </si>
  <si>
    <t>Частичное возмещение недополученных доходов по оказанию жилищно- коммунальных услуг населению</t>
  </si>
  <si>
    <t>7Я 0 01 98710</t>
  </si>
  <si>
    <t>Муниципальная программа "Комплексное развитие систем коммунальной инфраструктуры муниципального образования "Сусуманский городской округ" на 2016 год"</t>
  </si>
  <si>
    <t>Основное мероприятие "Подготовка коммунального комплекса к работе в осенне- зимний период 2016-2017 годов"</t>
  </si>
  <si>
    <t>Софинансирование мероприятий по подготовке к осенне- зимнему отопительному периоду</t>
  </si>
  <si>
    <t xml:space="preserve">727 </t>
  </si>
  <si>
    <t>7N 0 00 00000</t>
  </si>
  <si>
    <t>7N 0 01 00000</t>
  </si>
  <si>
    <t>7Z 0 00 00000</t>
  </si>
  <si>
    <t>7Z 0 01 00000</t>
  </si>
  <si>
    <t>7Z 0 01 98300</t>
  </si>
  <si>
    <t>7Z 0 01 98500</t>
  </si>
  <si>
    <t>Прочие работы по благоустройству</t>
  </si>
  <si>
    <t>7Z 0 01 98301</t>
  </si>
  <si>
    <t xml:space="preserve"> Наружное (уличное) освещение</t>
  </si>
  <si>
    <t>Софинансирование мероприятия "Повышение профессионального уровня лиц, замещающих муниципальные должности в Магаданской области"</t>
  </si>
  <si>
    <t>Приложение № 4</t>
  </si>
  <si>
    <t xml:space="preserve">7S 0 00 00000 </t>
  </si>
  <si>
    <t xml:space="preserve">7S 0 01 00000 </t>
  </si>
  <si>
    <t xml:space="preserve">7S 0 01 95310 </t>
  </si>
  <si>
    <t>Проведение своевременной и качественной подготовки объектов ЖКХ к работе в осенне- зимних условиях</t>
  </si>
  <si>
    <t>Повышение устойчивости основных объектов и систем жизнеобеспечения на территории Сусуманского городского округа</t>
  </si>
  <si>
    <t>Инженерно- сейсмическое обследование основных объектов и систем жизнеобеспечения Сусуманского городского округа</t>
  </si>
  <si>
    <t>Ч8 0 00 00000</t>
  </si>
  <si>
    <t>Ч8 0 01 00000</t>
  </si>
  <si>
    <t>Ч8 0 01 08180</t>
  </si>
  <si>
    <t>Муниципальная программа "Развитие муниципальной службы в муниципальном образовании "Сусуманский городской округ" на 2016 год"</t>
  </si>
  <si>
    <t>7R 0 01 S3260</t>
  </si>
  <si>
    <t>7N 0 01 S2100</t>
  </si>
  <si>
    <t>Прочие непрограммные мероприятия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</si>
  <si>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</si>
  <si>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66 0 00 00000</t>
  </si>
  <si>
    <t>66 Э 00 00000</t>
  </si>
  <si>
    <t>66 Э 00 51200</t>
  </si>
  <si>
    <t>Финансирование мероприятия "Повышение профессионального уровня лиц, замещающих муниципальные должности в Магаданской области" за счет средств областного бюджета</t>
  </si>
  <si>
    <t>7R 0 01 73260</t>
  </si>
  <si>
    <t xml:space="preserve">7Ц 0 00 00000 </t>
  </si>
  <si>
    <t xml:space="preserve">7Ц 0 01 00000 </t>
  </si>
  <si>
    <t xml:space="preserve">7Ц 0 01 91100 </t>
  </si>
  <si>
    <t>Основное мероприятие "Развитие муниципальных организаций дошкольного образования"</t>
  </si>
  <si>
    <t xml:space="preserve">7Р 0 02 00000 </t>
  </si>
  <si>
    <t xml:space="preserve">7Р 0 02 73110 </t>
  </si>
  <si>
    <t xml:space="preserve">7Р 0 02 S3110 </t>
  </si>
  <si>
    <t xml:space="preserve">7Ю 0 01 73950 </t>
  </si>
  <si>
    <t xml:space="preserve">7Ж 0 01 R0200 </t>
  </si>
  <si>
    <t>Софинансирование мероприятия "Обеспечение жильем молодых семей" федеральной целевой программы "Жилище на 2015- 2020 годы"</t>
  </si>
  <si>
    <t xml:space="preserve">7Ж 0 01 L0200 </t>
  </si>
  <si>
    <t>Муниципальная программа " Развитие водохозяйственного комплекса муниципального образования "Сусуманский городской округ" на 2016 год"</t>
  </si>
  <si>
    <t>7V 0 00 00000</t>
  </si>
  <si>
    <t>Основное мероприятие "Составление межевых и технических планов земельных участков под защитными гидротехническими сооружениями в г. Сусумане"</t>
  </si>
  <si>
    <t>7V 0 01 00000</t>
  </si>
  <si>
    <t>Финансирование мероприятия  "Составление межевых и технических планов земельных участков под защитными гидротехническими сооружениями в г. Сусумане" за счет средств областного бюджета</t>
  </si>
  <si>
    <t>7V 0 01 73930</t>
  </si>
  <si>
    <t xml:space="preserve">Софинансирование мероприятия  "Составление межевых и технических планов земельных участков под защитными гидротехническими сооружениями в г. Сусумане" </t>
  </si>
  <si>
    <t>7V 0 01 S3930</t>
  </si>
  <si>
    <t>Финансирование мероприятий по благоустройству территории Сусуманского городского округа за счет средств областного бюджета</t>
  </si>
  <si>
    <t>7Z 0 01 62010</t>
  </si>
  <si>
    <t xml:space="preserve">Софинансирование мероприятий по благоустройству территории Сусуманского городского округа </t>
  </si>
  <si>
    <t>7Z 0 01 S2010</t>
  </si>
  <si>
    <t>Финансирование мероприятий по реконструкции и капитальному ремонту дошкольных  образовательных организаций за счет средств областного бюджета</t>
  </si>
  <si>
    <t xml:space="preserve">Софинансирование мероприятий по реконструкции и капитальному ремонту дошкольных образовательных организаций </t>
  </si>
  <si>
    <t>Финансирование мероприятий по реконструкции и капитальному ремонту дошкольных образовательных организаций за счет средств областного бюджета</t>
  </si>
  <si>
    <t>7Н 0 01 73900</t>
  </si>
  <si>
    <t xml:space="preserve">7Н 0 01 S3900 </t>
  </si>
  <si>
    <t>Финансирование мероприятий по подготовке к осенне-зимнему отопительному периоду за счет средств областного бюджета</t>
  </si>
  <si>
    <t>7N 0 01 62110</t>
  </si>
  <si>
    <t>Основное мероприятие "Комплектование книжных фондов библиотек Сусуманского городского округа"</t>
  </si>
  <si>
    <t xml:space="preserve">7Е 0 02 00000 </t>
  </si>
  <si>
    <t>Финансирование мероприятия "Комплектование фондов библиотек Сусуманского городского округа" за счет средств областного бюджета</t>
  </si>
  <si>
    <t>7Е 0 02 73160</t>
  </si>
  <si>
    <t xml:space="preserve">Софинансирование мероприятия "Комплектование книжных фондов библиотек Сусуманского городского округа" </t>
  </si>
  <si>
    <t>7Е 0 02 S3160</t>
  </si>
  <si>
    <t>7R 0 01 98600</t>
  </si>
  <si>
    <t>7Е 0 02 51440</t>
  </si>
  <si>
    <t xml:space="preserve">Совершенствование содержания и технологий образования </t>
  </si>
  <si>
    <t>09 0 00 00000</t>
  </si>
  <si>
    <t>Подпрограмма "Обеспечение реализации государственной программы развития сельского хозяйства Магаданской области на 2014-2020 годы"</t>
  </si>
  <si>
    <t>09 5 00 00000</t>
  </si>
  <si>
    <t>Основное мероприятие "Подготовка и проведение Всероссийской сельскохозяйственной переписи на территории Магаданской области"</t>
  </si>
  <si>
    <t>09 5 06 00000</t>
  </si>
  <si>
    <t>Субвенции на проведение Всероссийской сельскохозяйственной переписи в 2016 году</t>
  </si>
  <si>
    <t>09 5 06 53910</t>
  </si>
  <si>
    <t>Финансирование мероприятий поддержки развития малого и среднего предпринимательства за счет средств областного бюджета</t>
  </si>
  <si>
    <t xml:space="preserve">7И 0 01 73360 </t>
  </si>
  <si>
    <t xml:space="preserve">Софинансирование мероприятий поддержки развития малого и среднего предпринимательства </t>
  </si>
  <si>
    <t xml:space="preserve">7И 0 01 S3360 </t>
  </si>
  <si>
    <t>Финансирование мероприятия "Комплектование фондов библиотек Сусуманского городского округа" за счет средств федерального бюджета</t>
  </si>
  <si>
    <t>Повышение профессионального уровня муниципальных служащих</t>
  </si>
  <si>
    <t>Субсидии на возмещение убытков от предоставления ритуальных услуг</t>
  </si>
  <si>
    <t>К6 0 00 08651</t>
  </si>
  <si>
    <t>Переселение граждан из аварийного жилищного фонда</t>
  </si>
  <si>
    <t>14 0 00 61080</t>
  </si>
  <si>
    <t>Финансирование мероприятий по повышению уровня антитеррористической защищенности образовательных организаций за счет средств областного бюджета</t>
  </si>
  <si>
    <t xml:space="preserve">7Б 0 01 73230 </t>
  </si>
  <si>
    <t xml:space="preserve">Софинансирование мероприятий по повышению уровня антитеррористической защищенности образовательных организаций </t>
  </si>
  <si>
    <t xml:space="preserve">7Б 0 01 S3230 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</si>
  <si>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</si>
  <si>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  " Поддержка и развитие малого и среднего предпринимательства в Сусуманском городском округе  на 2016 год"</t>
  </si>
  <si>
    <t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за счет средств областного бюджета</t>
  </si>
  <si>
    <t xml:space="preserve">7Р 0 02 75050 </t>
  </si>
  <si>
    <t xml:space="preserve"> Ч8 0 01 08190</t>
  </si>
  <si>
    <t>Субсидии гражданам на приобретение жилья</t>
  </si>
  <si>
    <t>322</t>
  </si>
  <si>
    <t>Государственная программа Магаданской области "Переселение в 2013-2017 годы граждан из жилых помещений в многоквартирных домах, признанных в установленном порядке до 01 января 2012 года аварийными и подлежащими сносу или реконструкции в связи с физическим износом в процессе их эксплуатации, с привлечением средств государственной корпорации – Фонд содействия реформированию жилищно-коммунального хозяйства"</t>
  </si>
  <si>
    <t>Финансирование мероприятий по организации и проведению областных универсальных совместных ярмарок за счет средств областного бюджета</t>
  </si>
  <si>
    <t>Софинансироваие мероприятий по организации и проведению областных универсальных совместных ярмарок</t>
  </si>
  <si>
    <t>Финансирование мероприятия "Обеспечение жильем молодых семей" федеральной целевой программы "Жилище на 2015- 2020 годы" за счет средств областного бюджета</t>
  </si>
  <si>
    <t>Расходы на питание (завтрак или полдник) детей из многодетных семей, обучающихся в общеобразовательных организациях за счет средств областного бюджета</t>
  </si>
  <si>
    <t>Финансирование мероприятия "Проведение I межмуниципального Форума молодежи "РИТМ 2016" за счет средств областного бюджета</t>
  </si>
  <si>
    <t xml:space="preserve">Софинансирование мероприятия "Проведение I межмуниципального Форума молодежи "РИТМ 2016" </t>
  </si>
  <si>
    <t>Межбюджетные трансферты, не включенные в программные мероприятия</t>
  </si>
  <si>
    <t>Государственная программа Магаданской области "Развитие сельского хозяйства Магаданской области на 2014-2020 годы"</t>
  </si>
  <si>
    <t xml:space="preserve">Софинансирование мероприятий по реконструкции и капитальному ремонту дошкольных  образовательных организаций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</si>
  <si>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</si>
  <si>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</si>
  <si>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66 Э 00 51180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</si>
  <si>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</si>
  <si>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</si>
  <si>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Оптимизация жилищного фонда в виде расселения жилого дома микрорайона "Берелех"</t>
  </si>
  <si>
    <t xml:space="preserve">7Г 0 01 96610 </t>
  </si>
  <si>
    <t xml:space="preserve">Софинансирование мероприятия "Ремонт и обслуживание линий электропередач уличного освещения города Сусумана" </t>
  </si>
  <si>
    <t>7Z 0 01 98302</t>
  </si>
  <si>
    <t>Ремонт и обслуживание линий электропередач уличного освещения города Сусумана за счет средств областного бюджета</t>
  </si>
  <si>
    <t>7М 0 02 73410</t>
  </si>
  <si>
    <t>7М 0 02 S3410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</si>
  <si>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
а также в результате деятельности учреждений
</t>
  </si>
  <si>
    <t xml:space="preserve">Организация и обеспечение проведения областных универсальных совместных ярмарок товаров на территории Сусуманского городского округа </t>
  </si>
  <si>
    <t xml:space="preserve">7Н 0 01 96510 </t>
  </si>
  <si>
    <t>Муниципальная программа  "Поддержка и развитие малого и среднего предпринимательства в Сусуманском городском округе  на 2016 год"</t>
  </si>
  <si>
    <t>Обеспечение выполнения функций органами местного самоуправления  Сусуманского городского округа в рамках непрограммных мероприятий</t>
  </si>
  <si>
    <t>66 1 00 00000</t>
  </si>
  <si>
    <t>Погашение кредиторской задолженности за поставленный уголь  в рамках заключенных договоров прошлых лет</t>
  </si>
  <si>
    <t>66 1 00 08081</t>
  </si>
  <si>
    <t>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</si>
  <si>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</si>
  <si>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Молодежная политика и оздоровление детей
</t>
  </si>
  <si>
    <t>Приложение № 3</t>
  </si>
  <si>
    <t>Бюджет на 2016 год</t>
  </si>
  <si>
    <t>Исполнение бюджета за 2016 год</t>
  </si>
  <si>
    <t>Отклоне-     ние</t>
  </si>
  <si>
    <t>% исполнения</t>
  </si>
  <si>
    <t>Исполнение расходов бюджета муниципального образования "Сусуманский городской округ"по разделам и подразделам  классификации расходов бюджетов Российской Федерации за 2016 год</t>
  </si>
  <si>
    <t>Исполне-ние бюджета за 2016 год</t>
  </si>
  <si>
    <t>% исполне-ния</t>
  </si>
  <si>
    <t>% испол-нения</t>
  </si>
  <si>
    <t>Исполнение расходов бюджета муниципального образования "Сусуманский городской округ" по ведомственной структуре расходов бюджета муниципального образования "Сусуманский городской округ" за 2016 год</t>
  </si>
  <si>
    <t>Исполнение расходов бюджета муниципального образования "Сусуманский городской округ" по разделам и подразделам, целевым статьям и видам расходов  классификации расходов бюджетов Российской Федерации за 2016 год</t>
  </si>
  <si>
    <t>Исполнение по источникам внутреннего финансирования дефицита  бюджета муниципального образования "Сусуманский городской округ"  за 2016 год.</t>
  </si>
  <si>
    <t>Отклонение</t>
  </si>
  <si>
    <t>Приложение № 2</t>
  </si>
  <si>
    <t>"Об исполнении бюджета муиципального образования "Сусуманский городской округ" на 2016 год</t>
  </si>
  <si>
    <t>к решению Собрания представителей Сусуманского городского округа</t>
  </si>
  <si>
    <t>"Об исполнении бюджета муниципального образования "Сусуманский городской округ" за 2016 год"</t>
  </si>
  <si>
    <t xml:space="preserve">        Исполнение программы муниципальных внутренних заимствований муниципального образования "Сусуманский городской округ" за 2016 год</t>
  </si>
  <si>
    <t>тыс. руб.</t>
  </si>
  <si>
    <t>1</t>
  </si>
  <si>
    <t>Внутренние заимствования (привлечение/погашение)</t>
  </si>
  <si>
    <t>получение кредитов</t>
  </si>
  <si>
    <t>погашение основной суммы задолженности</t>
  </si>
  <si>
    <t>получение бюджетных кредитов</t>
  </si>
  <si>
    <t>к решению  Собрания представителей Сусуманского городского округа</t>
  </si>
  <si>
    <t xml:space="preserve">        Исполнение муниципального внутреннего долга муниципального образования "Сусуманский городской округ" за 2016 год</t>
  </si>
  <si>
    <t>Структура муницип. долга на 01.01.2016 г</t>
  </si>
  <si>
    <t>Структура муницип. долга на 01.01.2017 г.</t>
  </si>
  <si>
    <t>Кредитные соглашения и договоры, заключенные от имени муниципального образования</t>
  </si>
  <si>
    <t>в том числе:</t>
  </si>
  <si>
    <t>Задолженность по бюджетному кредиту, полученному из областного бюджета на покрытие временного кассового разрыва, возникшего при исполнении бюджета муниципального образования "Сусуманский район"</t>
  </si>
  <si>
    <t>Кредиты, полученные в валюте Российской Федерации от кредитных организаций бюджетами муниципальных районов</t>
  </si>
  <si>
    <t>ИТОГО:</t>
  </si>
  <si>
    <t>Приложение № 6</t>
  </si>
  <si>
    <t>Приложение № 7</t>
  </si>
  <si>
    <t xml:space="preserve">Приложение № 8 </t>
  </si>
  <si>
    <t>тыс.рублей</t>
  </si>
  <si>
    <t>Вед.</t>
  </si>
  <si>
    <t>Приложение № 10</t>
  </si>
  <si>
    <t>Исполнение бюджетных ассигнований, направляемых на исполнение публичных нормативных обязательств в 2016 году</t>
  </si>
  <si>
    <t>.</t>
  </si>
  <si>
    <t>тыс.руб</t>
  </si>
  <si>
    <t>Приложение № 9</t>
  </si>
  <si>
    <t xml:space="preserve">к решению Собрания представителей Сусуманского городского округа </t>
  </si>
  <si>
    <t>СПРАВКА</t>
  </si>
  <si>
    <t xml:space="preserve">об использовании средств резервного фонда  по бюджету муниципального образования "Сусуманский городской округ" </t>
  </si>
  <si>
    <t>за 2016 год</t>
  </si>
  <si>
    <t>Дата</t>
  </si>
  <si>
    <t>№ пост., распоряж.</t>
  </si>
  <si>
    <t>№ Справки- увед.</t>
  </si>
  <si>
    <t>Получатель средств</t>
  </si>
  <si>
    <t>Расходы</t>
  </si>
  <si>
    <t>Гл, раздел, подр.,цел.ст., вид расх., эк.классиф.</t>
  </si>
  <si>
    <t>Выделено</t>
  </si>
  <si>
    <t>Исполнено</t>
  </si>
  <si>
    <t>Раздел,подраздел</t>
  </si>
  <si>
    <t>ЦС</t>
  </si>
  <si>
    <t>Эк.ст.</t>
  </si>
  <si>
    <t>средств</t>
  </si>
  <si>
    <t>Сумма, руб.</t>
  </si>
  <si>
    <t>26.05.2016</t>
  </si>
  <si>
    <t>99-р</t>
  </si>
  <si>
    <t>№ 49 от 08.06.2016</t>
  </si>
  <si>
    <t>На оказание финансовой поддержки в связи с необходимостью реализации мероприятий, связанных с празднованием  Дня семьи, Дня защиты детей, предстоящего нового учебного года (акция "Собери ребенка в школу")</t>
  </si>
  <si>
    <t>721;0113;Р700007050;870;290</t>
  </si>
  <si>
    <t>08.09.2016</t>
  </si>
  <si>
    <t>166-р</t>
  </si>
  <si>
    <t>№ 115 от 07.09.2016</t>
  </si>
  <si>
    <t>На  оказание материальной помощи Албогачиевой М.М-Б., в связи с подтоплением квартиры расположенной по адресу г.Сусуман, ул.Советская д.13, кв.3, произошедшее в результате прохождения циклона, сопровождавщегося обильными осадками, что привело к резкому  подъему уровня воды в р.Берелех, значительно превысевшим критический уровень и, как следствие, приведшее к частичному подтоплению жилого сектора г.Сусумана</t>
  </si>
  <si>
    <t>09.09.2016</t>
  </si>
  <si>
    <t>167-р</t>
  </si>
  <si>
    <t>№ 119 от 13.09.2016</t>
  </si>
  <si>
    <t>На  оказание материальной помощи Хоренко С.П., в связи с подтоплением квартиры расположенной по адресу г.Сусуман, ул.Советская д.13, кв.4, произошедшее в результате прохождения циклона, сопровождавщегося обильными осадками, что привело к резкому  подъему уровня воды в р.Берелех, значительно превысевшим критический уровень и, как следствие, приведшее к частичному подтоплению жилого сектора г.Сусумана</t>
  </si>
  <si>
    <t>12.09.2016</t>
  </si>
  <si>
    <t>170-р</t>
  </si>
  <si>
    <t>На  оказание материальной помощи Мальцеву А.В., в связи с подтоплением квартиры расположенной по адресу г.Сусуман, ул.Советская д.13, кв.4, произошедшее в результате прохождения циклона, сопровождавщегося обильными осадками, что привело к резкому  подъему уровня воды в р.Берелех, значительно превысевшим критический уровень и, как следствие, приведшее к частичному подтоплению жилого сектора г.Сусумана</t>
  </si>
  <si>
    <t>13.09.2016</t>
  </si>
  <si>
    <t>174-р</t>
  </si>
  <si>
    <t>На  оказание материальной помощи Мошкиной Т.В., в связи с подтоплением квартиры расположенной по адресу г.Сусуман, ул.Советская д.13, кв.2, произошедшее в результате прохождения циклона, сопровождавщегося обильными осадками, что привело к резкому  подъему уровня воды в р.Берелех, значительно превысевшим критический уровень и, как следствие, приведшее к частичному подтоплению жилого сектора г.Сусумана</t>
  </si>
  <si>
    <t>15.09.2016</t>
  </si>
  <si>
    <t>178-р</t>
  </si>
  <si>
    <t>№ 121 от 19.09.2016</t>
  </si>
  <si>
    <t>На  оказание материальной помощи Чеберяк И.Б., в связи с подтоплением квартиры расположенной по адресу г.Сусуман, ул.Советская д.13 "а", кв.4, произошедшее в результате прохождения циклона, сопровождавщегося обильными осадками, что привело к резкому  подъему уровня воды в р.Берелех, значительно превысевшим критический уровень и, как следствие, приведшее к частичному подтоплению жилого сектора г.Сусумана</t>
  </si>
  <si>
    <t>173-р</t>
  </si>
  <si>
    <t>№ 116 от 08.09.2016</t>
  </si>
  <si>
    <t>На проведение аварийно-спасательных и других неотложных работ (АСНДР), ликвидации последствий, наступивших в результате чрезвычайной ситуации на территории Сусуманского городского округа.</t>
  </si>
  <si>
    <t>05.10.2016</t>
  </si>
  <si>
    <t>200-р</t>
  </si>
  <si>
    <t>№ 131 от 25.10.2016</t>
  </si>
  <si>
    <t>На  оказание материальной помощи Засиду И.С., в связи с подтоплением квартиры расположенной по адресу г.Сусуман, ул.Советская д.13 "а", кв.3, произошедшее в результате прохождения циклона, сопровождавщегося обильными осадками, что привело к резкому  подъему уровня воды в р.Берелех, значительно превысевшим критический уровень и, как следствие, приведшее к частичному подтоплению жилого сектора г.Сусумана</t>
  </si>
  <si>
    <t>201-р</t>
  </si>
  <si>
    <t>На  оказание материальной помощи Новичку А.Е., в связи с подтоплением квартиры расположенной по адресу г.Сусуман, ул.Советская д.13 "а", кв.1,2, произошедшее в результате прохождения циклона, сопровождавщегося обильными осадками, что привело к резкому  подъему уровня воды в р.Берелех, значительно превысевшим критический уровень и, как следствие, приведшее к частичному подтоплению жилого сектора г.Сусумана</t>
  </si>
  <si>
    <t>07.10.2016</t>
  </si>
  <si>
    <t>202-р</t>
  </si>
  <si>
    <t>№ 147/1 от 03.11.2016</t>
  </si>
  <si>
    <t>Для оплаты оказанных услуг Калиным С.И. по договорам возмездного оказания услуг на выполнение аварийно-восстановительных работ в результате чрезвычайной ситуации, вызванной обильными дождевыми осадками и паводками на территории Сусуманского городского округа, повлекшим за собой затопление  и подтопление территории и денежные средства на оплату страховых взносов во внебюджетные фонды, начисляемые на выплаты по настоящим договорам</t>
  </si>
  <si>
    <t>721;0113;Р700007050;244;226</t>
  </si>
  <si>
    <t>Итого</t>
  </si>
  <si>
    <t>Приложение № 5</t>
  </si>
  <si>
    <t>к решение Собрания представителей Сусуманского городского округа</t>
  </si>
  <si>
    <t xml:space="preserve">Исполнение муниципальных программ по бюджету муниципального образования "Сусуманский городской округ" за 2016 год  </t>
  </si>
  <si>
    <t xml:space="preserve">Основное мероприятие "Реализация мероприятий по оказанию адресной помощи населению" </t>
  </si>
  <si>
    <t xml:space="preserve">Общее образование  </t>
  </si>
  <si>
    <t>Молодежная политика и оздоровление детей</t>
  </si>
  <si>
    <t xml:space="preserve">Молодежная политика </t>
  </si>
  <si>
    <t>КУЛЬТУРА И КИНЕМАТОГРАФИЯ</t>
  </si>
  <si>
    <t>Общегосударственные вопросы</t>
  </si>
  <si>
    <t>Основное мероприятие "Социальная защита детей- сирот, детей, оставшихся без попечения родителей и детей из семей "группы риска"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</si>
  <si>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</si>
  <si>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</si>
  <si>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Работы, услуги по содержанию имущества</t>
  </si>
  <si>
    <t>Бюджетные инвестиции в объекты капитального строительства государственной (муниципальной собственности)</t>
  </si>
  <si>
    <t>Муниципальная программа "Развитие водохозяйственного комплекса муниципального образования "Сусуманский городской округ" на 2016 год"</t>
  </si>
  <si>
    <t>от 19.05.2017 г. № 192</t>
  </si>
  <si>
    <t>от  19.05.2017 г. № 192</t>
  </si>
  <si>
    <t>от 19.05.2017 № 192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</si>
</sst>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0"/>
    <numFmt numFmtId="187" formatCode="#,##0.00_ ;\-#,##0.00\ "/>
    <numFmt numFmtId="188" formatCode="#,##0.0_ ;\-#,##0.0\ "/>
    <numFmt numFmtId="189" formatCode="0.0000"/>
    <numFmt numFmtId="190" formatCode="0.000"/>
    <numFmt numFmtId="191" formatCode="#,##0.0000"/>
    <numFmt numFmtId="192" formatCode="0.00000"/>
    <numFmt numFmtId="193" formatCode="0.000000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Cyr"/>
      <family val="0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vertical="top" wrapText="1"/>
    </xf>
    <xf numFmtId="0" fontId="61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85" fontId="5" fillId="0" borderId="0" xfId="0" applyNumberFormat="1" applyFont="1" applyBorder="1" applyAlignment="1">
      <alignment horizontal="center"/>
    </xf>
    <xf numFmtId="180" fontId="6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85" fontId="6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80" fontId="6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wrapText="1"/>
    </xf>
    <xf numFmtId="180" fontId="6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80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/>
    </xf>
    <xf numFmtId="180" fontId="7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180" fontId="7" fillId="34" borderId="10" xfId="0" applyNumberFormat="1" applyFont="1" applyFill="1" applyBorder="1" applyAlignment="1">
      <alignment horizontal="center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185" fontId="6" fillId="34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/>
    </xf>
    <xf numFmtId="180" fontId="8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185" fontId="6" fillId="0" borderId="0" xfId="0" applyNumberFormat="1" applyFont="1" applyAlignment="1">
      <alignment/>
    </xf>
    <xf numFmtId="185" fontId="7" fillId="0" borderId="10" xfId="0" applyNumberFormat="1" applyFont="1" applyBorder="1" applyAlignment="1">
      <alignment horizontal="center" vertical="top" wrapText="1"/>
    </xf>
    <xf numFmtId="185" fontId="7" fillId="0" borderId="10" xfId="0" applyNumberFormat="1" applyFont="1" applyBorder="1" applyAlignment="1">
      <alignment horizontal="center"/>
    </xf>
    <xf numFmtId="185" fontId="7" fillId="0" borderId="10" xfId="0" applyNumberFormat="1" applyFont="1" applyBorder="1" applyAlignment="1">
      <alignment/>
    </xf>
    <xf numFmtId="185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5" fontId="12" fillId="0" borderId="10" xfId="0" applyNumberFormat="1" applyFont="1" applyFill="1" applyBorder="1" applyAlignment="1">
      <alignment horizontal="center" vertical="center"/>
    </xf>
    <xf numFmtId="185" fontId="1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185" fontId="12" fillId="0" borderId="10" xfId="0" applyNumberFormat="1" applyFont="1" applyBorder="1" applyAlignment="1">
      <alignment horizontal="center" vertical="center"/>
    </xf>
    <xf numFmtId="185" fontId="12" fillId="0" borderId="12" xfId="0" applyNumberFormat="1" applyFont="1" applyBorder="1" applyAlignment="1">
      <alignment horizontal="center" vertical="center"/>
    </xf>
    <xf numFmtId="185" fontId="1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vertical="center" wrapText="1"/>
    </xf>
    <xf numFmtId="185" fontId="1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center" wrapText="1"/>
    </xf>
    <xf numFmtId="185" fontId="13" fillId="0" borderId="10" xfId="0" applyNumberFormat="1" applyFont="1" applyBorder="1" applyAlignment="1">
      <alignment horizontal="center" vertical="center"/>
    </xf>
    <xf numFmtId="185" fontId="13" fillId="0" borderId="12" xfId="0" applyNumberFormat="1" applyFont="1" applyBorder="1" applyAlignment="1">
      <alignment horizontal="center" vertical="center"/>
    </xf>
    <xf numFmtId="185" fontId="1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center"/>
    </xf>
    <xf numFmtId="185" fontId="12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6" fillId="0" borderId="0" xfId="0" applyFont="1" applyFill="1" applyAlignment="1">
      <alignment horizontal="right"/>
    </xf>
    <xf numFmtId="180" fontId="6" fillId="0" borderId="0" xfId="0" applyNumberFormat="1" applyFont="1" applyFill="1" applyAlignment="1">
      <alignment/>
    </xf>
    <xf numFmtId="49" fontId="61" fillId="0" borderId="10" xfId="0" applyNumberFormat="1" applyFont="1" applyFill="1" applyBorder="1" applyAlignment="1">
      <alignment horizontal="center"/>
    </xf>
    <xf numFmtId="49" fontId="61" fillId="35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33" borderId="10" xfId="0" applyFont="1" applyFill="1" applyBorder="1" applyAlignment="1">
      <alignment vertical="top"/>
    </xf>
    <xf numFmtId="43" fontId="0" fillId="33" borderId="10" xfId="60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43" fontId="0" fillId="33" borderId="11" xfId="60" applyFont="1" applyFill="1" applyBorder="1" applyAlignment="1">
      <alignment/>
    </xf>
    <xf numFmtId="49" fontId="16" fillId="33" borderId="13" xfId="0" applyNumberFormat="1" applyFont="1" applyFill="1" applyBorder="1" applyAlignment="1">
      <alignment/>
    </xf>
    <xf numFmtId="49" fontId="16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43" fontId="0" fillId="33" borderId="10" xfId="60" applyFont="1" applyFill="1" applyBorder="1" applyAlignment="1">
      <alignment/>
    </xf>
    <xf numFmtId="49" fontId="16" fillId="33" borderId="10" xfId="0" applyNumberFormat="1" applyFont="1" applyFill="1" applyBorder="1" applyAlignment="1">
      <alignment/>
    </xf>
    <xf numFmtId="49" fontId="16" fillId="33" borderId="10" xfId="0" applyNumberFormat="1" applyFont="1" applyFill="1" applyBorder="1" applyAlignment="1">
      <alignment wrapText="1"/>
    </xf>
    <xf numFmtId="43" fontId="14" fillId="33" borderId="10" xfId="60" applyFont="1" applyFill="1" applyBorder="1" applyAlignment="1">
      <alignment/>
    </xf>
    <xf numFmtId="0" fontId="0" fillId="34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5" fontId="6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185" fontId="61" fillId="0" borderId="0" xfId="0" applyNumberFormat="1" applyFont="1" applyFill="1" applyAlignment="1">
      <alignment/>
    </xf>
    <xf numFmtId="0" fontId="61" fillId="0" borderId="0" xfId="0" applyFont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85" fontId="6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 shrinkToFit="1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left" vertical="top" wrapText="1" shrinkToFit="1"/>
    </xf>
    <xf numFmtId="18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 shrinkToFit="1"/>
    </xf>
    <xf numFmtId="0" fontId="61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65" fillId="34" borderId="0" xfId="0" applyFont="1" applyFill="1" applyAlignment="1">
      <alignment/>
    </xf>
    <xf numFmtId="0" fontId="65" fillId="34" borderId="0" xfId="0" applyFont="1" applyFill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185" fontId="66" fillId="34" borderId="10" xfId="0" applyNumberFormat="1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0" fontId="66" fillId="34" borderId="10" xfId="0" applyFont="1" applyFill="1" applyBorder="1" applyAlignment="1">
      <alignment horizontal="center"/>
    </xf>
    <xf numFmtId="0" fontId="66" fillId="34" borderId="10" xfId="0" applyFont="1" applyFill="1" applyBorder="1" applyAlignment="1">
      <alignment horizontal="left" vertical="center" wrapText="1"/>
    </xf>
    <xf numFmtId="180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center" vertical="center" wrapText="1"/>
    </xf>
    <xf numFmtId="49" fontId="65" fillId="34" borderId="10" xfId="0" applyNumberFormat="1" applyFont="1" applyFill="1" applyBorder="1" applyAlignment="1">
      <alignment horizontal="center" vertical="center" wrapText="1"/>
    </xf>
    <xf numFmtId="180" fontId="65" fillId="34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49" fontId="66" fillId="0" borderId="1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180" fontId="65" fillId="0" borderId="10" xfId="0" applyNumberFormat="1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left" vertical="center" wrapText="1"/>
    </xf>
    <xf numFmtId="49" fontId="65" fillId="34" borderId="10" xfId="0" applyNumberFormat="1" applyFont="1" applyFill="1" applyBorder="1" applyAlignment="1">
      <alignment horizontal="center"/>
    </xf>
    <xf numFmtId="3" fontId="65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185" fontId="68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top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4" borderId="0" xfId="0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wrapText="1"/>
    </xf>
    <xf numFmtId="0" fontId="17" fillId="34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7" fillId="34" borderId="0" xfId="0" applyFont="1" applyFill="1" applyAlignment="1">
      <alignment horizontal="right" wrapText="1"/>
    </xf>
    <xf numFmtId="0" fontId="1" fillId="0" borderId="0" xfId="0" applyFont="1" applyAlignment="1">
      <alignment/>
    </xf>
    <xf numFmtId="0" fontId="18" fillId="34" borderId="0" xfId="0" applyFont="1" applyFill="1" applyAlignment="1">
      <alignment horizontal="center" wrapText="1"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49" fontId="0" fillId="33" borderId="11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49" fontId="0" fillId="33" borderId="11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33\&#1086;&#1073;&#1097;&#1080;&#1077;%20&#1076;&#1086;&#1082;&#1091;&#1084;&#1077;&#1085;&#1090;&#1099;\&#1057;&#1101;&#1076;&#1080;\Documents\&#1054;&#1090;&#1095;&#1077;&#1090;&#1099;%20&#1057;&#1086;&#1073;&#1088;&#1072;&#1085;&#1080;&#1102;%20&#1087;&#1088;&#1077;&#1076;&#1089;&#1090;&#1072;&#1074;&#1080;&#1090;&#1077;&#1083;&#1077;&#1081;\3%20&#1042;&#1040;&#1056;.&#1043;&#1086;&#1076;.&#1086;&#1090;&#1095;.&#1079;&#1072;%202016%20&#1075;\&#1055;&#1088;&#1080;&#1083;.,3,4,5,7,8,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3 по разд"/>
      <sheetName val="пр.4"/>
      <sheetName val="пр.7 ист."/>
      <sheetName val="пр. 5"/>
      <sheetName val="Пр.8"/>
      <sheetName val="Прил.9"/>
    </sheetNames>
    <sheetDataSet>
      <sheetData sheetId="4">
        <row r="3">
          <cell r="A3" t="str">
            <v>"Об исполнении бюджета муниципального образования "Сусуманский городской округ" за 2016 год"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="75" zoomScaleNormal="75" zoomScalePageLayoutView="0" workbookViewId="0" topLeftCell="A1">
      <selection activeCell="A4" sqref="A4:G4"/>
    </sheetView>
  </sheetViews>
  <sheetFormatPr defaultColWidth="9.25390625" defaultRowHeight="12.75"/>
  <cols>
    <col min="1" max="1" width="78.25390625" style="1" customWidth="1"/>
    <col min="2" max="2" width="5.00390625" style="54" customWidth="1"/>
    <col min="3" max="3" width="4.75390625" style="54" customWidth="1"/>
    <col min="4" max="4" width="10.25390625" style="54" customWidth="1"/>
    <col min="5" max="5" width="9.25390625" style="1" customWidth="1"/>
    <col min="6" max="6" width="8.75390625" style="1" customWidth="1"/>
    <col min="7" max="7" width="8.625" style="114" customWidth="1"/>
    <col min="8" max="8" width="10.75390625" style="5" bestFit="1" customWidth="1"/>
    <col min="9" max="16384" width="9.25390625" style="1" customWidth="1"/>
  </cols>
  <sheetData>
    <row r="1" spans="1:8" s="24" customFormat="1" ht="13.5" customHeight="1">
      <c r="A1" s="247" t="s">
        <v>786</v>
      </c>
      <c r="B1" s="247"/>
      <c r="C1" s="247"/>
      <c r="D1" s="247"/>
      <c r="E1" s="248"/>
      <c r="F1" s="248"/>
      <c r="G1" s="248"/>
      <c r="H1" s="23"/>
    </row>
    <row r="2" spans="1:7" ht="13.5" customHeight="1">
      <c r="A2" s="249" t="s">
        <v>168</v>
      </c>
      <c r="B2" s="249"/>
      <c r="C2" s="249"/>
      <c r="D2" s="249"/>
      <c r="E2" s="248"/>
      <c r="F2" s="248"/>
      <c r="G2" s="248"/>
    </row>
    <row r="3" spans="1:7" ht="13.5" customHeight="1">
      <c r="A3" s="249" t="s">
        <v>787</v>
      </c>
      <c r="B3" s="248"/>
      <c r="C3" s="248"/>
      <c r="D3" s="248"/>
      <c r="E3" s="248"/>
      <c r="F3" s="248"/>
      <c r="G3" s="248"/>
    </row>
    <row r="4" spans="1:7" ht="13.5" customHeight="1">
      <c r="A4" s="249" t="s">
        <v>886</v>
      </c>
      <c r="B4" s="249"/>
      <c r="C4" s="249"/>
      <c r="D4" s="249"/>
      <c r="E4" s="248"/>
      <c r="F4" s="248"/>
      <c r="G4" s="248"/>
    </row>
    <row r="5" spans="1:7" ht="30" customHeight="1">
      <c r="A5" s="252" t="s">
        <v>778</v>
      </c>
      <c r="B5" s="252"/>
      <c r="C5" s="252"/>
      <c r="D5" s="252"/>
      <c r="E5" s="248"/>
      <c r="F5" s="248"/>
      <c r="G5" s="248"/>
    </row>
    <row r="6" spans="1:4" ht="15.75" hidden="1">
      <c r="A6" s="5"/>
      <c r="B6" s="6"/>
      <c r="C6" s="6"/>
      <c r="D6" s="6" t="s">
        <v>1</v>
      </c>
    </row>
    <row r="7" spans="1:7" ht="48">
      <c r="A7" s="16" t="s">
        <v>32</v>
      </c>
      <c r="B7" s="16" t="s">
        <v>64</v>
      </c>
      <c r="C7" s="16" t="s">
        <v>65</v>
      </c>
      <c r="D7" s="91" t="s">
        <v>774</v>
      </c>
      <c r="E7" s="91" t="s">
        <v>779</v>
      </c>
      <c r="F7" s="92" t="s">
        <v>776</v>
      </c>
      <c r="G7" s="115" t="s">
        <v>777</v>
      </c>
    </row>
    <row r="8" spans="1:7" ht="15.75">
      <c r="A8" s="16">
        <v>1</v>
      </c>
      <c r="B8" s="16">
        <v>2</v>
      </c>
      <c r="C8" s="16">
        <v>3</v>
      </c>
      <c r="D8" s="17">
        <v>4</v>
      </c>
      <c r="E8" s="17">
        <v>6</v>
      </c>
      <c r="F8" s="21">
        <v>7</v>
      </c>
      <c r="G8" s="116">
        <v>8</v>
      </c>
    </row>
    <row r="9" spans="1:7" ht="15.75">
      <c r="A9" s="68" t="s">
        <v>2</v>
      </c>
      <c r="B9" s="36" t="s">
        <v>66</v>
      </c>
      <c r="C9" s="36" t="s">
        <v>36</v>
      </c>
      <c r="D9" s="79">
        <f>SUM(D10:D15)</f>
        <v>167086.30000000005</v>
      </c>
      <c r="E9" s="79">
        <f>SUM(E10:E15)</f>
        <v>162355.80000000002</v>
      </c>
      <c r="F9" s="111">
        <f>D9-E9</f>
        <v>4730.500000000029</v>
      </c>
      <c r="G9" s="117">
        <f>E9/D9*100</f>
        <v>97.16882832404569</v>
      </c>
    </row>
    <row r="10" spans="1:7" ht="25.5">
      <c r="A10" s="19" t="s">
        <v>15</v>
      </c>
      <c r="B10" s="33" t="s">
        <v>66</v>
      </c>
      <c r="C10" s="33" t="s">
        <v>67</v>
      </c>
      <c r="D10" s="80">
        <f>'пр.3 РзПзЦС ВР'!F10</f>
        <v>3803.4</v>
      </c>
      <c r="E10" s="80">
        <f>'пр.3 РзПзЦС ВР'!G10</f>
        <v>3681.8</v>
      </c>
      <c r="F10" s="93">
        <f>D10-E10</f>
        <v>121.59999999999991</v>
      </c>
      <c r="G10" s="118">
        <f>E10/D10*100</f>
        <v>96.80286059841195</v>
      </c>
    </row>
    <row r="11" spans="1:7" ht="25.5">
      <c r="A11" s="19" t="s">
        <v>20</v>
      </c>
      <c r="B11" s="33" t="s">
        <v>66</v>
      </c>
      <c r="C11" s="33" t="s">
        <v>70</v>
      </c>
      <c r="D11" s="80">
        <f>'пр.3 РзПзЦС ВР'!F18</f>
        <v>5692.2</v>
      </c>
      <c r="E11" s="80">
        <f>'пр.3 РзПзЦС ВР'!G18</f>
        <v>5591.2</v>
      </c>
      <c r="F11" s="93">
        <f aca="true" t="shared" si="0" ref="F11:F48">D11-E11</f>
        <v>101</v>
      </c>
      <c r="G11" s="118">
        <f aca="true" t="shared" si="1" ref="G11:G48">E11/D11*100</f>
        <v>98.22564210674255</v>
      </c>
    </row>
    <row r="12" spans="1:7" ht="27.75" customHeight="1">
      <c r="A12" s="19" t="s">
        <v>17</v>
      </c>
      <c r="B12" s="33" t="s">
        <v>66</v>
      </c>
      <c r="C12" s="33" t="s">
        <v>68</v>
      </c>
      <c r="D12" s="80">
        <f>'пр.3 РзПзЦС ВР'!F48</f>
        <v>110330.40000000002</v>
      </c>
      <c r="E12" s="80">
        <f>'пр.3 РзПзЦС ВР'!G48</f>
        <v>108530</v>
      </c>
      <c r="F12" s="93">
        <f t="shared" si="0"/>
        <v>1800.4000000000233</v>
      </c>
      <c r="G12" s="118">
        <f t="shared" si="1"/>
        <v>98.36817413876862</v>
      </c>
    </row>
    <row r="13" spans="1:7" ht="25.5">
      <c r="A13" s="19" t="s">
        <v>19</v>
      </c>
      <c r="B13" s="33" t="s">
        <v>66</v>
      </c>
      <c r="C13" s="33" t="s">
        <v>76</v>
      </c>
      <c r="D13" s="80">
        <f>'пр.3 РзПзЦС ВР'!F76</f>
        <v>19058.1</v>
      </c>
      <c r="E13" s="80">
        <f>'пр.3 РзПзЦС ВР'!G76</f>
        <v>18317.6</v>
      </c>
      <c r="F13" s="93">
        <f t="shared" si="0"/>
        <v>740.5</v>
      </c>
      <c r="G13" s="118">
        <f t="shared" si="1"/>
        <v>96.11451298922768</v>
      </c>
    </row>
    <row r="14" spans="1:7" ht="15.75">
      <c r="A14" s="19" t="s">
        <v>3</v>
      </c>
      <c r="B14" s="34" t="s">
        <v>66</v>
      </c>
      <c r="C14" s="34" t="s">
        <v>74</v>
      </c>
      <c r="D14" s="80">
        <f>'пр.3 РзПзЦС ВР'!F105</f>
        <v>1000</v>
      </c>
      <c r="E14" s="80">
        <f>'пр.3 РзПзЦС ВР'!G105</f>
        <v>386.70000000000005</v>
      </c>
      <c r="F14" s="93">
        <f t="shared" si="0"/>
        <v>613.3</v>
      </c>
      <c r="G14" s="118">
        <f t="shared" si="1"/>
        <v>38.67</v>
      </c>
    </row>
    <row r="15" spans="1:7" ht="15.75">
      <c r="A15" s="19" t="s">
        <v>63</v>
      </c>
      <c r="B15" s="34" t="s">
        <v>66</v>
      </c>
      <c r="C15" s="34" t="s">
        <v>89</v>
      </c>
      <c r="D15" s="80">
        <f>'пр.3 РзПзЦС ВР'!F110</f>
        <v>27202.199999999997</v>
      </c>
      <c r="E15" s="80">
        <f>'пр.3 РзПзЦС ВР'!G110</f>
        <v>25848.5</v>
      </c>
      <c r="F15" s="93">
        <f t="shared" si="0"/>
        <v>1353.699999999997</v>
      </c>
      <c r="G15" s="118">
        <f t="shared" si="1"/>
        <v>95.02356427053695</v>
      </c>
    </row>
    <row r="16" spans="1:7" ht="15.75">
      <c r="A16" s="8" t="s">
        <v>750</v>
      </c>
      <c r="B16" s="29" t="s">
        <v>67</v>
      </c>
      <c r="C16" s="29" t="s">
        <v>36</v>
      </c>
      <c r="D16" s="79">
        <f>D17</f>
        <v>38</v>
      </c>
      <c r="E16" s="79">
        <f>E17</f>
        <v>38</v>
      </c>
      <c r="F16" s="110">
        <f t="shared" si="0"/>
        <v>0</v>
      </c>
      <c r="G16" s="117">
        <f t="shared" si="1"/>
        <v>100</v>
      </c>
    </row>
    <row r="17" spans="1:7" ht="15.75">
      <c r="A17" s="9" t="s">
        <v>324</v>
      </c>
      <c r="B17" s="13" t="s">
        <v>67</v>
      </c>
      <c r="C17" s="13" t="s">
        <v>70</v>
      </c>
      <c r="D17" s="80">
        <f>'пр. 4 Вед'!G123</f>
        <v>38</v>
      </c>
      <c r="E17" s="80">
        <f>'пр. 4 Вед'!H123</f>
        <v>38</v>
      </c>
      <c r="F17" s="93">
        <f t="shared" si="0"/>
        <v>0</v>
      </c>
      <c r="G17" s="118">
        <f t="shared" si="1"/>
        <v>100</v>
      </c>
    </row>
    <row r="18" spans="1:7" ht="15.75">
      <c r="A18" s="20" t="s">
        <v>4</v>
      </c>
      <c r="B18" s="35" t="s">
        <v>70</v>
      </c>
      <c r="C18" s="36" t="s">
        <v>36</v>
      </c>
      <c r="D18" s="79">
        <f>D19</f>
        <v>6028.700000000001</v>
      </c>
      <c r="E18" s="79">
        <f>E19</f>
        <v>4532.6</v>
      </c>
      <c r="F18" s="93">
        <f t="shared" si="0"/>
        <v>1496.1000000000004</v>
      </c>
      <c r="G18" s="118">
        <f t="shared" si="1"/>
        <v>75.18370461293479</v>
      </c>
    </row>
    <row r="19" spans="1:8" ht="24">
      <c r="A19" s="61" t="s">
        <v>81</v>
      </c>
      <c r="B19" s="33" t="s">
        <v>70</v>
      </c>
      <c r="C19" s="33" t="s">
        <v>75</v>
      </c>
      <c r="D19" s="80">
        <f>'пр.3 РзПзЦС ВР'!F226</f>
        <v>6028.700000000001</v>
      </c>
      <c r="E19" s="80">
        <f>'пр.3 РзПзЦС ВР'!G226</f>
        <v>4532.6</v>
      </c>
      <c r="F19" s="93">
        <f t="shared" si="0"/>
        <v>1496.1000000000004</v>
      </c>
      <c r="G19" s="118">
        <f t="shared" si="1"/>
        <v>75.18370461293479</v>
      </c>
      <c r="H19" s="112"/>
    </row>
    <row r="20" spans="1:8" ht="15.75">
      <c r="A20" s="20" t="s">
        <v>5</v>
      </c>
      <c r="B20" s="35" t="s">
        <v>68</v>
      </c>
      <c r="C20" s="35" t="s">
        <v>36</v>
      </c>
      <c r="D20" s="79">
        <f>D23+D24+D25+D21+D22</f>
        <v>166635.7</v>
      </c>
      <c r="E20" s="79">
        <f>E23+E24+E25+E21+E22</f>
        <v>166210.7</v>
      </c>
      <c r="F20" s="110">
        <f t="shared" si="0"/>
        <v>425</v>
      </c>
      <c r="G20" s="117">
        <f t="shared" si="1"/>
        <v>99.74495261219535</v>
      </c>
      <c r="H20" s="112"/>
    </row>
    <row r="21" spans="1:8" ht="15.75">
      <c r="A21" s="62" t="s">
        <v>80</v>
      </c>
      <c r="B21" s="34" t="s">
        <v>68</v>
      </c>
      <c r="C21" s="34" t="s">
        <v>72</v>
      </c>
      <c r="D21" s="80">
        <f>'пр.3 РзПзЦС ВР'!F260</f>
        <v>808.2</v>
      </c>
      <c r="E21" s="80">
        <f>'пр.3 РзПзЦС ВР'!G260</f>
        <v>566.7</v>
      </c>
      <c r="F21" s="93">
        <f t="shared" si="0"/>
        <v>241.5</v>
      </c>
      <c r="G21" s="118">
        <f t="shared" si="1"/>
        <v>70.11878247958427</v>
      </c>
      <c r="H21" s="112"/>
    </row>
    <row r="22" spans="1:8" ht="15.75">
      <c r="A22" s="46" t="s">
        <v>579</v>
      </c>
      <c r="B22" s="34" t="s">
        <v>68</v>
      </c>
      <c r="C22" s="34" t="s">
        <v>76</v>
      </c>
      <c r="D22" s="80">
        <f>'пр.3 РзПзЦС ВР'!F273</f>
        <v>143551.2</v>
      </c>
      <c r="E22" s="80">
        <f>'пр.3 РзПзЦС ВР'!G273</f>
        <v>143551.1</v>
      </c>
      <c r="F22" s="93">
        <f t="shared" si="0"/>
        <v>0.10000000000582077</v>
      </c>
      <c r="G22" s="118">
        <f t="shared" si="1"/>
        <v>99.9999303384437</v>
      </c>
      <c r="H22" s="112"/>
    </row>
    <row r="23" spans="1:8" ht="15.75">
      <c r="A23" s="19" t="s">
        <v>6</v>
      </c>
      <c r="B23" s="34" t="s">
        <v>68</v>
      </c>
      <c r="C23" s="34" t="s">
        <v>73</v>
      </c>
      <c r="D23" s="80">
        <f>'пр.3 РзПзЦС ВР'!F301</f>
        <v>6370</v>
      </c>
      <c r="E23" s="80">
        <f>'пр.3 РзПзЦС ВР'!G301</f>
        <v>6370</v>
      </c>
      <c r="F23" s="93">
        <f t="shared" si="0"/>
        <v>0</v>
      </c>
      <c r="G23" s="118">
        <f t="shared" si="1"/>
        <v>100</v>
      </c>
      <c r="H23" s="112"/>
    </row>
    <row r="24" spans="1:8" ht="15.75">
      <c r="A24" s="19" t="s">
        <v>84</v>
      </c>
      <c r="B24" s="34" t="s">
        <v>68</v>
      </c>
      <c r="C24" s="34" t="s">
        <v>75</v>
      </c>
      <c r="D24" s="80">
        <f>'пр.3 РзПзЦС ВР'!F306</f>
        <v>14589.8</v>
      </c>
      <c r="E24" s="80">
        <f>'пр.3 РзПзЦС ВР'!G306</f>
        <v>14461.400000000001</v>
      </c>
      <c r="F24" s="93">
        <f t="shared" si="0"/>
        <v>128.39999999999782</v>
      </c>
      <c r="G24" s="118">
        <f t="shared" si="1"/>
        <v>99.11993310394935</v>
      </c>
      <c r="H24" s="112"/>
    </row>
    <row r="25" spans="1:7" ht="15.75">
      <c r="A25" s="19" t="s">
        <v>7</v>
      </c>
      <c r="B25" s="34" t="s">
        <v>68</v>
      </c>
      <c r="C25" s="34" t="s">
        <v>78</v>
      </c>
      <c r="D25" s="80">
        <f>'пр.3 РзПзЦС ВР'!F324</f>
        <v>1316.5</v>
      </c>
      <c r="E25" s="80">
        <f>'пр.3 РзПзЦС ВР'!G324</f>
        <v>1261.5</v>
      </c>
      <c r="F25" s="93">
        <f t="shared" si="0"/>
        <v>55</v>
      </c>
      <c r="G25" s="118">
        <f t="shared" si="1"/>
        <v>95.82225598176984</v>
      </c>
    </row>
    <row r="26" spans="1:8" ht="15.75">
      <c r="A26" s="60" t="s">
        <v>162</v>
      </c>
      <c r="B26" s="35" t="s">
        <v>72</v>
      </c>
      <c r="C26" s="35" t="s">
        <v>36</v>
      </c>
      <c r="D26" s="79">
        <f>D27+D28+D29</f>
        <v>117380.8</v>
      </c>
      <c r="E26" s="79">
        <f>E27+E28+E29</f>
        <v>115910.49999999999</v>
      </c>
      <c r="F26" s="110">
        <f t="shared" si="0"/>
        <v>1470.3000000000175</v>
      </c>
      <c r="G26" s="117">
        <f t="shared" si="1"/>
        <v>98.74741013862572</v>
      </c>
      <c r="H26" s="113"/>
    </row>
    <row r="27" spans="1:7" ht="15.75">
      <c r="A27" s="19" t="s">
        <v>161</v>
      </c>
      <c r="B27" s="34" t="s">
        <v>72</v>
      </c>
      <c r="C27" s="34" t="s">
        <v>66</v>
      </c>
      <c r="D27" s="80">
        <f>'пр.3 РзПзЦС ВР'!F353</f>
        <v>60656.4</v>
      </c>
      <c r="E27" s="80">
        <f>'пр.3 РзПзЦС ВР'!G353</f>
        <v>59619.2</v>
      </c>
      <c r="F27" s="93">
        <f t="shared" si="0"/>
        <v>1037.2000000000044</v>
      </c>
      <c r="G27" s="118">
        <f t="shared" si="1"/>
        <v>98.290040292533</v>
      </c>
    </row>
    <row r="28" spans="1:7" ht="15.75">
      <c r="A28" s="46" t="s">
        <v>244</v>
      </c>
      <c r="B28" s="34" t="s">
        <v>72</v>
      </c>
      <c r="C28" s="34" t="s">
        <v>67</v>
      </c>
      <c r="D28" s="80">
        <f>'пр.3 РзПзЦС ВР'!F391</f>
        <v>48231.2</v>
      </c>
      <c r="E28" s="80">
        <f>'пр.3 РзПзЦС ВР'!G391</f>
        <v>48008.899999999994</v>
      </c>
      <c r="F28" s="93">
        <f t="shared" si="0"/>
        <v>222.3000000000029</v>
      </c>
      <c r="G28" s="118">
        <f t="shared" si="1"/>
        <v>99.53909502562655</v>
      </c>
    </row>
    <row r="29" spans="1:7" ht="15.75">
      <c r="A29" s="46" t="s">
        <v>246</v>
      </c>
      <c r="B29" s="34" t="s">
        <v>72</v>
      </c>
      <c r="C29" s="34" t="s">
        <v>70</v>
      </c>
      <c r="D29" s="80">
        <f>'пр.3 РзПзЦС ВР'!F428</f>
        <v>8493.2</v>
      </c>
      <c r="E29" s="80">
        <f>'пр.3 РзПзЦС ВР'!G428</f>
        <v>8282.4</v>
      </c>
      <c r="F29" s="93">
        <f t="shared" si="0"/>
        <v>210.8000000000011</v>
      </c>
      <c r="G29" s="118">
        <f t="shared" si="1"/>
        <v>97.51801441152921</v>
      </c>
    </row>
    <row r="30" spans="1:7" ht="15.75">
      <c r="A30" s="20" t="s">
        <v>8</v>
      </c>
      <c r="B30" s="35" t="s">
        <v>69</v>
      </c>
      <c r="C30" s="35" t="s">
        <v>36</v>
      </c>
      <c r="D30" s="79">
        <f>SUM(D31:D34)</f>
        <v>324476.6</v>
      </c>
      <c r="E30" s="79">
        <f>SUM(E31:E34)</f>
        <v>316598.99999999994</v>
      </c>
      <c r="F30" s="110">
        <f t="shared" si="0"/>
        <v>7877.600000000035</v>
      </c>
      <c r="G30" s="117">
        <f t="shared" si="1"/>
        <v>97.5722132196898</v>
      </c>
    </row>
    <row r="31" spans="1:7" ht="15.75">
      <c r="A31" s="19" t="s">
        <v>9</v>
      </c>
      <c r="B31" s="34" t="s">
        <v>69</v>
      </c>
      <c r="C31" s="34" t="s">
        <v>66</v>
      </c>
      <c r="D31" s="80">
        <f>'пр.3 РзПзЦС ВР'!F460</f>
        <v>76884.5</v>
      </c>
      <c r="E31" s="80">
        <f>'пр.3 РзПзЦС ВР'!G460</f>
        <v>75732.5</v>
      </c>
      <c r="F31" s="93">
        <f t="shared" si="0"/>
        <v>1152</v>
      </c>
      <c r="G31" s="118">
        <f t="shared" si="1"/>
        <v>98.50164857676124</v>
      </c>
    </row>
    <row r="32" spans="1:7" ht="15.75">
      <c r="A32" s="19" t="s">
        <v>10</v>
      </c>
      <c r="B32" s="34" t="s">
        <v>69</v>
      </c>
      <c r="C32" s="34" t="s">
        <v>67</v>
      </c>
      <c r="D32" s="80">
        <f>'пр.3 РзПзЦС ВР'!F537</f>
        <v>200847.8</v>
      </c>
      <c r="E32" s="80">
        <f>'пр.3 РзПзЦС ВР'!G537</f>
        <v>195936.1</v>
      </c>
      <c r="F32" s="93">
        <f t="shared" si="0"/>
        <v>4911.6999999999825</v>
      </c>
      <c r="G32" s="118">
        <f t="shared" si="1"/>
        <v>97.55451640495939</v>
      </c>
    </row>
    <row r="33" spans="1:7" ht="25.5">
      <c r="A33" s="60" t="s">
        <v>772</v>
      </c>
      <c r="B33" s="34" t="s">
        <v>69</v>
      </c>
      <c r="C33" s="34" t="s">
        <v>69</v>
      </c>
      <c r="D33" s="80">
        <f>'пр.3 РзПзЦС ВР'!F663</f>
        <v>7693.2</v>
      </c>
      <c r="E33" s="80">
        <f>'пр.3 РзПзЦС ВР'!G663</f>
        <v>7017.099999999999</v>
      </c>
      <c r="F33" s="93">
        <f t="shared" si="0"/>
        <v>676.1000000000004</v>
      </c>
      <c r="G33" s="118">
        <f t="shared" si="1"/>
        <v>91.2117194405449</v>
      </c>
    </row>
    <row r="34" spans="1:7" ht="15.75">
      <c r="A34" s="19" t="s">
        <v>11</v>
      </c>
      <c r="B34" s="34" t="s">
        <v>69</v>
      </c>
      <c r="C34" s="34" t="s">
        <v>75</v>
      </c>
      <c r="D34" s="80">
        <f>'пр.3 РзПзЦС ВР'!F768</f>
        <v>39051.100000000006</v>
      </c>
      <c r="E34" s="80">
        <f>'пр.3 РзПзЦС ВР'!G768</f>
        <v>37913.3</v>
      </c>
      <c r="F34" s="93">
        <f t="shared" si="0"/>
        <v>1137.800000000003</v>
      </c>
      <c r="G34" s="118">
        <f t="shared" si="1"/>
        <v>97.08638168963229</v>
      </c>
    </row>
    <row r="35" spans="1:7" ht="15.75">
      <c r="A35" s="63" t="s">
        <v>156</v>
      </c>
      <c r="B35" s="35" t="s">
        <v>73</v>
      </c>
      <c r="C35" s="36" t="s">
        <v>36</v>
      </c>
      <c r="D35" s="79">
        <f>D36+D37</f>
        <v>49703.5</v>
      </c>
      <c r="E35" s="79">
        <f>E36+E37</f>
        <v>49616.299999999996</v>
      </c>
      <c r="F35" s="110">
        <f t="shared" si="0"/>
        <v>87.20000000000437</v>
      </c>
      <c r="G35" s="117">
        <f t="shared" si="1"/>
        <v>99.82455963865723</v>
      </c>
    </row>
    <row r="36" spans="1:7" ht="15.75">
      <c r="A36" s="19" t="s">
        <v>12</v>
      </c>
      <c r="B36" s="34" t="s">
        <v>73</v>
      </c>
      <c r="C36" s="34" t="s">
        <v>66</v>
      </c>
      <c r="D36" s="80">
        <f>'пр.3 РзПзЦС ВР'!F855</f>
        <v>32477.399999999998</v>
      </c>
      <c r="E36" s="80">
        <f>'пр.3 РзПзЦС ВР'!G855</f>
        <v>32458.399999999998</v>
      </c>
      <c r="F36" s="93">
        <f t="shared" si="0"/>
        <v>19</v>
      </c>
      <c r="G36" s="118">
        <f t="shared" si="1"/>
        <v>99.9414977799947</v>
      </c>
    </row>
    <row r="37" spans="1:7" ht="15.75">
      <c r="A37" s="61" t="s">
        <v>88</v>
      </c>
      <c r="B37" s="34" t="s">
        <v>73</v>
      </c>
      <c r="C37" s="34" t="s">
        <v>68</v>
      </c>
      <c r="D37" s="80">
        <f>'пр.3 РзПзЦС ВР'!F935</f>
        <v>17226.100000000002</v>
      </c>
      <c r="E37" s="80">
        <f>'пр.3 РзПзЦС ВР'!G935</f>
        <v>17157.899999999998</v>
      </c>
      <c r="F37" s="93">
        <f t="shared" si="0"/>
        <v>68.20000000000437</v>
      </c>
      <c r="G37" s="118">
        <f t="shared" si="1"/>
        <v>99.60408914379921</v>
      </c>
    </row>
    <row r="38" spans="1:7" ht="15.75">
      <c r="A38" s="20" t="s">
        <v>62</v>
      </c>
      <c r="B38" s="35" t="s">
        <v>71</v>
      </c>
      <c r="C38" s="35" t="s">
        <v>36</v>
      </c>
      <c r="D38" s="79">
        <f>D39+D40+D41</f>
        <v>12631.6</v>
      </c>
      <c r="E38" s="79">
        <f>E39+E40+E41</f>
        <v>11887.83</v>
      </c>
      <c r="F38" s="110">
        <f t="shared" si="0"/>
        <v>743.7700000000004</v>
      </c>
      <c r="G38" s="117">
        <f t="shared" si="1"/>
        <v>94.11183064694892</v>
      </c>
    </row>
    <row r="39" spans="1:7" ht="15.75">
      <c r="A39" s="19" t="s">
        <v>58</v>
      </c>
      <c r="B39" s="34" t="s">
        <v>71</v>
      </c>
      <c r="C39" s="34" t="s">
        <v>66</v>
      </c>
      <c r="D39" s="80">
        <f>'пр.3 РзПзЦС ВР'!F1021</f>
        <v>3000</v>
      </c>
      <c r="E39" s="80">
        <f>'пр.3 РзПзЦС ВР'!G1021</f>
        <v>2910.1</v>
      </c>
      <c r="F39" s="93">
        <f t="shared" si="0"/>
        <v>89.90000000000009</v>
      </c>
      <c r="G39" s="118">
        <f t="shared" si="1"/>
        <v>97.00333333333333</v>
      </c>
    </row>
    <row r="40" spans="1:7" ht="15.75">
      <c r="A40" s="19" t="s">
        <v>61</v>
      </c>
      <c r="B40" s="34" t="s">
        <v>71</v>
      </c>
      <c r="C40" s="34" t="s">
        <v>70</v>
      </c>
      <c r="D40" s="80">
        <f>'пр.3 РзПзЦС ВР'!F1027</f>
        <v>6654</v>
      </c>
      <c r="E40" s="80">
        <f>'пр.3 РзПзЦС ВР'!G1027</f>
        <v>6650.83</v>
      </c>
      <c r="F40" s="93">
        <f t="shared" si="0"/>
        <v>3.1700000000000728</v>
      </c>
      <c r="G40" s="118">
        <f t="shared" si="1"/>
        <v>99.95235948301773</v>
      </c>
    </row>
    <row r="41" spans="1:7" ht="15.75">
      <c r="A41" s="64" t="s">
        <v>165</v>
      </c>
      <c r="B41" s="34" t="s">
        <v>71</v>
      </c>
      <c r="C41" s="34" t="s">
        <v>76</v>
      </c>
      <c r="D41" s="80">
        <f>'пр.3 РзПзЦС ВР'!F1057</f>
        <v>2977.6</v>
      </c>
      <c r="E41" s="80">
        <f>'пр.3 РзПзЦС ВР'!G1057</f>
        <v>2326.9</v>
      </c>
      <c r="F41" s="93">
        <f t="shared" si="0"/>
        <v>650.6999999999998</v>
      </c>
      <c r="G41" s="118">
        <f t="shared" si="1"/>
        <v>78.14682966147232</v>
      </c>
    </row>
    <row r="42" spans="1:7" ht="15.75">
      <c r="A42" s="60" t="s">
        <v>85</v>
      </c>
      <c r="B42" s="35" t="s">
        <v>74</v>
      </c>
      <c r="C42" s="35" t="s">
        <v>36</v>
      </c>
      <c r="D42" s="79">
        <f>D43</f>
        <v>10661.7</v>
      </c>
      <c r="E42" s="79">
        <f>E43</f>
        <v>10627.6</v>
      </c>
      <c r="F42" s="110">
        <f t="shared" si="0"/>
        <v>34.100000000000364</v>
      </c>
      <c r="G42" s="117">
        <f t="shared" si="1"/>
        <v>99.68016357616514</v>
      </c>
    </row>
    <row r="43" spans="1:7" ht="15.75">
      <c r="A43" s="46" t="s">
        <v>86</v>
      </c>
      <c r="B43" s="34" t="s">
        <v>74</v>
      </c>
      <c r="C43" s="34" t="s">
        <v>66</v>
      </c>
      <c r="D43" s="80">
        <f>'пр.3 РзПзЦС ВР'!F1082</f>
        <v>10661.7</v>
      </c>
      <c r="E43" s="80">
        <f>'пр.3 РзПзЦС ВР'!G1082</f>
        <v>10627.6</v>
      </c>
      <c r="F43" s="93">
        <f t="shared" si="0"/>
        <v>34.100000000000364</v>
      </c>
      <c r="G43" s="118">
        <f t="shared" si="1"/>
        <v>99.68016357616514</v>
      </c>
    </row>
    <row r="44" spans="1:7" ht="15.75">
      <c r="A44" s="60" t="s">
        <v>87</v>
      </c>
      <c r="B44" s="35" t="s">
        <v>78</v>
      </c>
      <c r="C44" s="35" t="s">
        <v>36</v>
      </c>
      <c r="D44" s="79">
        <f>D45</f>
        <v>5617</v>
      </c>
      <c r="E44" s="79">
        <f>E45</f>
        <v>5617</v>
      </c>
      <c r="F44" s="93">
        <f t="shared" si="0"/>
        <v>0</v>
      </c>
      <c r="G44" s="118">
        <f t="shared" si="1"/>
        <v>100</v>
      </c>
    </row>
    <row r="45" spans="1:7" ht="15.75">
      <c r="A45" s="60" t="s">
        <v>13</v>
      </c>
      <c r="B45" s="34" t="s">
        <v>78</v>
      </c>
      <c r="C45" s="34" t="s">
        <v>67</v>
      </c>
      <c r="D45" s="80">
        <f>'пр.3 РзПзЦС ВР'!F1138</f>
        <v>5617</v>
      </c>
      <c r="E45" s="80">
        <f>'пр.3 РзПзЦС ВР'!G1138</f>
        <v>5617</v>
      </c>
      <c r="F45" s="93">
        <f t="shared" si="0"/>
        <v>0</v>
      </c>
      <c r="G45" s="118">
        <f t="shared" si="1"/>
        <v>100</v>
      </c>
    </row>
    <row r="46" spans="1:7" ht="15.75">
      <c r="A46" s="60" t="s">
        <v>346</v>
      </c>
      <c r="B46" s="29" t="s">
        <v>89</v>
      </c>
      <c r="C46" s="29" t="s">
        <v>36</v>
      </c>
      <c r="D46" s="79">
        <f>D47</f>
        <v>630.9</v>
      </c>
      <c r="E46" s="79">
        <f>E47</f>
        <v>630.9</v>
      </c>
      <c r="F46" s="93">
        <f t="shared" si="0"/>
        <v>0</v>
      </c>
      <c r="G46" s="118">
        <f t="shared" si="1"/>
        <v>100</v>
      </c>
    </row>
    <row r="47" spans="1:7" ht="15.75">
      <c r="A47" s="46" t="s">
        <v>95</v>
      </c>
      <c r="B47" s="13" t="s">
        <v>89</v>
      </c>
      <c r="C47" s="13" t="s">
        <v>66</v>
      </c>
      <c r="D47" s="80">
        <f>'пр.3 РзПзЦС ВР'!F1146</f>
        <v>630.9</v>
      </c>
      <c r="E47" s="80">
        <f>'пр.3 РзПзЦС ВР'!G1146</f>
        <v>630.9</v>
      </c>
      <c r="F47" s="93">
        <f t="shared" si="0"/>
        <v>0</v>
      </c>
      <c r="G47" s="118">
        <f t="shared" si="1"/>
        <v>100</v>
      </c>
    </row>
    <row r="48" spans="1:8" ht="15.75">
      <c r="A48" s="20" t="s">
        <v>44</v>
      </c>
      <c r="B48" s="35"/>
      <c r="C48" s="35"/>
      <c r="D48" s="40">
        <f>D9+D18+D20+D26+D30+D35+D38+D42+D44+D46+D16</f>
        <v>860890.8</v>
      </c>
      <c r="E48" s="40">
        <f>E9+E18+E20+E26+E30+E35+E38+E42+E44+E46+E16</f>
        <v>844026.23</v>
      </c>
      <c r="F48" s="110">
        <f t="shared" si="0"/>
        <v>16864.570000000065</v>
      </c>
      <c r="G48" s="117">
        <f t="shared" si="1"/>
        <v>98.0410326141248</v>
      </c>
      <c r="H48" s="40"/>
    </row>
    <row r="49" spans="1:4" ht="15.75">
      <c r="A49" s="2"/>
      <c r="B49" s="49"/>
      <c r="C49" s="49"/>
      <c r="D49" s="50"/>
    </row>
    <row r="50" spans="1:4" ht="15.75">
      <c r="A50" s="251"/>
      <c r="B50" s="251"/>
      <c r="C50" s="251"/>
      <c r="D50" s="251"/>
    </row>
    <row r="51" spans="1:4" ht="15.75">
      <c r="A51" s="3"/>
      <c r="B51" s="51"/>
      <c r="C51" s="51"/>
      <c r="D51" s="55"/>
    </row>
    <row r="52" spans="1:4" ht="15.75">
      <c r="A52" s="250"/>
      <c r="B52" s="250"/>
      <c r="C52" s="250"/>
      <c r="D52" s="250"/>
    </row>
    <row r="53" spans="1:4" ht="15.75">
      <c r="A53" s="250"/>
      <c r="B53" s="250"/>
      <c r="C53" s="250"/>
      <c r="D53" s="250"/>
    </row>
    <row r="54" spans="1:4" ht="15.75">
      <c r="A54" s="3"/>
      <c r="B54" s="51"/>
      <c r="C54" s="51"/>
      <c r="D54" s="52"/>
    </row>
    <row r="55" spans="1:3" ht="15.75">
      <c r="A55" s="4"/>
      <c r="B55" s="53"/>
      <c r="C55" s="53"/>
    </row>
    <row r="56" spans="1:3" ht="15.75">
      <c r="A56" s="4"/>
      <c r="B56" s="53"/>
      <c r="C56" s="53"/>
    </row>
    <row r="57" spans="1:3" ht="15.75">
      <c r="A57" s="4"/>
      <c r="B57" s="53"/>
      <c r="C57" s="53"/>
    </row>
    <row r="58" spans="1:3" ht="15.75">
      <c r="A58" s="4"/>
      <c r="B58" s="53"/>
      <c r="C58" s="53"/>
    </row>
    <row r="59" spans="1:3" ht="15.75">
      <c r="A59" s="4"/>
      <c r="B59" s="53"/>
      <c r="C59" s="53"/>
    </row>
    <row r="60" spans="1:3" ht="15.75">
      <c r="A60" s="4"/>
      <c r="B60" s="53"/>
      <c r="C60" s="53"/>
    </row>
    <row r="61" spans="1:3" ht="15.75">
      <c r="A61" s="4"/>
      <c r="B61" s="53"/>
      <c r="C61" s="53"/>
    </row>
    <row r="62" spans="1:3" ht="15.75">
      <c r="A62" s="4"/>
      <c r="B62" s="53"/>
      <c r="C62" s="53"/>
    </row>
    <row r="63" spans="1:3" ht="15.75">
      <c r="A63" s="4"/>
      <c r="B63" s="53"/>
      <c r="C63" s="53"/>
    </row>
    <row r="64" spans="1:3" ht="15.75">
      <c r="A64" s="4"/>
      <c r="B64" s="53"/>
      <c r="C64" s="53"/>
    </row>
    <row r="65" spans="1:3" ht="15.75">
      <c r="A65" s="4"/>
      <c r="B65" s="53"/>
      <c r="C65" s="53"/>
    </row>
    <row r="66" spans="1:3" ht="15.75">
      <c r="A66" s="4"/>
      <c r="B66" s="53"/>
      <c r="C66" s="53"/>
    </row>
    <row r="67" spans="1:3" ht="15.75">
      <c r="A67" s="4"/>
      <c r="B67" s="53"/>
      <c r="C67" s="53"/>
    </row>
    <row r="68" spans="1:3" ht="15.75">
      <c r="A68" s="4"/>
      <c r="B68" s="53"/>
      <c r="C68" s="53"/>
    </row>
  </sheetData>
  <sheetProtection/>
  <mergeCells count="8">
    <mergeCell ref="A1:G1"/>
    <mergeCell ref="A2:G2"/>
    <mergeCell ref="A3:G3"/>
    <mergeCell ref="A4:G4"/>
    <mergeCell ref="A53:D53"/>
    <mergeCell ref="A50:D50"/>
    <mergeCell ref="A52:D52"/>
    <mergeCell ref="A5:G5"/>
  </mergeCells>
  <printOptions/>
  <pageMargins left="1.47" right="0.3937007874015748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55"/>
  <sheetViews>
    <sheetView zoomScale="75" zoomScaleNormal="75" workbookViewId="0" topLeftCell="A1">
      <selection activeCell="A1" sqref="A1:I1152"/>
    </sheetView>
  </sheetViews>
  <sheetFormatPr defaultColWidth="9.25390625" defaultRowHeight="12.75"/>
  <cols>
    <col min="1" max="1" width="77.625" style="7" customWidth="1"/>
    <col min="2" max="2" width="4.375" style="38" customWidth="1"/>
    <col min="3" max="3" width="4.75390625" style="38" customWidth="1"/>
    <col min="4" max="4" width="14.00390625" style="38" customWidth="1"/>
    <col min="5" max="5" width="4.375" style="38" customWidth="1"/>
    <col min="6" max="6" width="10.25390625" style="38" customWidth="1"/>
    <col min="7" max="7" width="10.00390625" style="7" customWidth="1"/>
    <col min="8" max="8" width="7.875" style="7" customWidth="1"/>
    <col min="9" max="9" width="5.75390625" style="7" customWidth="1"/>
    <col min="10" max="10" width="3.125" style="7" customWidth="1"/>
    <col min="11" max="11" width="13.125" style="7" customWidth="1"/>
    <col min="12" max="12" width="3.125" style="121" customWidth="1"/>
    <col min="13" max="13" width="64.875" style="121" customWidth="1"/>
    <col min="14" max="14" width="6.25390625" style="121" customWidth="1"/>
    <col min="15" max="15" width="9.25390625" style="121" customWidth="1"/>
    <col min="16" max="16" width="11.125" style="121" customWidth="1"/>
    <col min="17" max="17" width="9.25390625" style="121" customWidth="1"/>
    <col min="18" max="16384" width="9.25390625" style="7" customWidth="1"/>
  </cols>
  <sheetData>
    <row r="1" spans="1:9" ht="12.75">
      <c r="A1" s="253" t="s">
        <v>773</v>
      </c>
      <c r="B1" s="248"/>
      <c r="C1" s="248"/>
      <c r="D1" s="248"/>
      <c r="E1" s="248"/>
      <c r="F1" s="248"/>
      <c r="G1" s="248"/>
      <c r="H1" s="248"/>
      <c r="I1" s="248"/>
    </row>
    <row r="2" spans="1:9" ht="14.25" customHeight="1">
      <c r="A2" s="249" t="s">
        <v>168</v>
      </c>
      <c r="B2" s="249"/>
      <c r="C2" s="249"/>
      <c r="D2" s="249"/>
      <c r="E2" s="249"/>
      <c r="F2" s="249"/>
      <c r="G2" s="254"/>
      <c r="H2" s="254"/>
      <c r="I2" s="254"/>
    </row>
    <row r="3" spans="1:9" ht="14.25" customHeight="1">
      <c r="A3" s="249" t="str">
        <f>'пр.2 РзПз'!A3:G3</f>
        <v>"Об исполнении бюджета муиципального образования "Сусуманский городской округ" на 2016 год</v>
      </c>
      <c r="B3" s="254"/>
      <c r="C3" s="254"/>
      <c r="D3" s="254"/>
      <c r="E3" s="254"/>
      <c r="F3" s="254"/>
      <c r="G3" s="254"/>
      <c r="H3" s="254"/>
      <c r="I3" s="254"/>
    </row>
    <row r="4" spans="1:9" ht="14.25" customHeight="1">
      <c r="A4" s="249" t="str">
        <f>'пр.2 РзПз'!A4:G4</f>
        <v>от 19.05.2017 г. № 192</v>
      </c>
      <c r="B4" s="249"/>
      <c r="C4" s="249"/>
      <c r="D4" s="249"/>
      <c r="E4" s="249"/>
      <c r="F4" s="249"/>
      <c r="G4" s="254"/>
      <c r="H4" s="254"/>
      <c r="I4" s="254"/>
    </row>
    <row r="5" spans="1:9" ht="26.25" customHeight="1">
      <c r="A5" s="255" t="s">
        <v>783</v>
      </c>
      <c r="B5" s="255"/>
      <c r="C5" s="255"/>
      <c r="D5" s="255"/>
      <c r="E5" s="255"/>
      <c r="F5" s="255"/>
      <c r="G5" s="256"/>
      <c r="H5" s="256"/>
      <c r="I5" s="256"/>
    </row>
    <row r="6" spans="5:7" ht="30" customHeight="1">
      <c r="E6" s="38" t="s">
        <v>813</v>
      </c>
      <c r="G6" s="159" t="s">
        <v>814</v>
      </c>
    </row>
    <row r="7" spans="1:18" ht="58.5" customHeight="1">
      <c r="A7" s="18" t="s">
        <v>32</v>
      </c>
      <c r="B7" s="39" t="s">
        <v>46</v>
      </c>
      <c r="C7" s="39" t="s">
        <v>45</v>
      </c>
      <c r="D7" s="39" t="s">
        <v>47</v>
      </c>
      <c r="E7" s="39" t="s">
        <v>48</v>
      </c>
      <c r="F7" s="91" t="s">
        <v>774</v>
      </c>
      <c r="G7" s="91" t="s">
        <v>779</v>
      </c>
      <c r="H7" s="92" t="s">
        <v>776</v>
      </c>
      <c r="I7" s="91" t="s">
        <v>777</v>
      </c>
      <c r="R7" s="160"/>
    </row>
    <row r="8" spans="1:17" ht="12.75">
      <c r="A8" s="18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18">
        <v>8</v>
      </c>
      <c r="I8" s="18">
        <v>9</v>
      </c>
      <c r="K8" s="160"/>
      <c r="M8" s="191"/>
      <c r="N8" s="191"/>
      <c r="O8" s="191"/>
      <c r="P8" s="191"/>
      <c r="Q8" s="191"/>
    </row>
    <row r="9" spans="1:19" ht="12.75">
      <c r="A9" s="65" t="s">
        <v>2</v>
      </c>
      <c r="B9" s="29" t="s">
        <v>66</v>
      </c>
      <c r="C9" s="29" t="s">
        <v>36</v>
      </c>
      <c r="D9" s="13"/>
      <c r="E9" s="13"/>
      <c r="F9" s="30">
        <f>F10+F18+F48+F76+F105+F110</f>
        <v>167086.30000000005</v>
      </c>
      <c r="G9" s="30">
        <f>G10+G18+G48+G76+G105+G110</f>
        <v>162355.80000000002</v>
      </c>
      <c r="H9" s="30">
        <f aca="true" t="shared" si="0" ref="H9:H72">F9-G9</f>
        <v>4730.500000000029</v>
      </c>
      <c r="I9" s="82">
        <f aca="true" t="shared" si="1" ref="I9:I72">G9/F9*100</f>
        <v>97.16882832404569</v>
      </c>
      <c r="K9" s="160"/>
      <c r="M9" s="191"/>
      <c r="N9" s="191"/>
      <c r="O9" s="195"/>
      <c r="P9" s="195"/>
      <c r="Q9" s="195"/>
      <c r="S9" s="160"/>
    </row>
    <row r="10" spans="1:19" ht="27" customHeight="1">
      <c r="A10" s="60" t="s">
        <v>15</v>
      </c>
      <c r="B10" s="29" t="s">
        <v>66</v>
      </c>
      <c r="C10" s="29" t="s">
        <v>67</v>
      </c>
      <c r="D10" s="29"/>
      <c r="E10" s="29"/>
      <c r="F10" s="30">
        <f aca="true" t="shared" si="2" ref="F10:G14">F11</f>
        <v>3803.4</v>
      </c>
      <c r="G10" s="30">
        <f t="shared" si="2"/>
        <v>3681.8</v>
      </c>
      <c r="H10" s="30">
        <f t="shared" si="0"/>
        <v>121.59999999999991</v>
      </c>
      <c r="I10" s="82">
        <f t="shared" si="1"/>
        <v>96.80286059841195</v>
      </c>
      <c r="K10" s="160"/>
      <c r="M10" s="191"/>
      <c r="N10" s="191"/>
      <c r="O10" s="195"/>
      <c r="P10" s="195"/>
      <c r="Q10" s="195"/>
      <c r="S10" s="160"/>
    </row>
    <row r="11" spans="1:17" ht="25.5">
      <c r="A11" s="46" t="s">
        <v>557</v>
      </c>
      <c r="B11" s="13" t="s">
        <v>66</v>
      </c>
      <c r="C11" s="13" t="s">
        <v>67</v>
      </c>
      <c r="D11" s="13" t="s">
        <v>251</v>
      </c>
      <c r="E11" s="13"/>
      <c r="F11" s="14">
        <f t="shared" si="2"/>
        <v>3803.4</v>
      </c>
      <c r="G11" s="14">
        <f t="shared" si="2"/>
        <v>3681.8</v>
      </c>
      <c r="H11" s="14">
        <f t="shared" si="0"/>
        <v>121.59999999999991</v>
      </c>
      <c r="I11" s="77">
        <f t="shared" si="1"/>
        <v>96.80286059841195</v>
      </c>
      <c r="M11" s="191"/>
      <c r="N11" s="191"/>
      <c r="O11" s="195"/>
      <c r="P11" s="195"/>
      <c r="Q11" s="195"/>
    </row>
    <row r="12" spans="1:17" ht="12.75">
      <c r="A12" s="46" t="s">
        <v>16</v>
      </c>
      <c r="B12" s="13" t="s">
        <v>66</v>
      </c>
      <c r="C12" s="13" t="s">
        <v>67</v>
      </c>
      <c r="D12" s="13" t="s">
        <v>275</v>
      </c>
      <c r="E12" s="13"/>
      <c r="F12" s="14">
        <f t="shared" si="2"/>
        <v>3803.4</v>
      </c>
      <c r="G12" s="14">
        <f t="shared" si="2"/>
        <v>3681.8</v>
      </c>
      <c r="H12" s="14">
        <f t="shared" si="0"/>
        <v>121.59999999999991</v>
      </c>
      <c r="I12" s="77">
        <f t="shared" si="1"/>
        <v>96.80286059841195</v>
      </c>
      <c r="M12" s="191"/>
      <c r="N12" s="191"/>
      <c r="O12" s="195"/>
      <c r="P12" s="195"/>
      <c r="Q12" s="195"/>
    </row>
    <row r="13" spans="1:18" s="27" customFormat="1" ht="12.75">
      <c r="A13" s="46" t="s">
        <v>273</v>
      </c>
      <c r="B13" s="13" t="s">
        <v>66</v>
      </c>
      <c r="C13" s="13" t="s">
        <v>67</v>
      </c>
      <c r="D13" s="13" t="s">
        <v>276</v>
      </c>
      <c r="E13" s="13"/>
      <c r="F13" s="14">
        <f t="shared" si="2"/>
        <v>3803.4</v>
      </c>
      <c r="G13" s="14">
        <f t="shared" si="2"/>
        <v>3681.8</v>
      </c>
      <c r="H13" s="14">
        <f t="shared" si="0"/>
        <v>121.59999999999991</v>
      </c>
      <c r="I13" s="77">
        <f t="shared" si="1"/>
        <v>96.80286059841195</v>
      </c>
      <c r="L13" s="192"/>
      <c r="M13" s="191"/>
      <c r="N13" s="191"/>
      <c r="O13" s="195"/>
      <c r="P13" s="195"/>
      <c r="Q13" s="195"/>
      <c r="R13" s="7"/>
    </row>
    <row r="14" spans="1:19" s="27" customFormat="1" ht="38.25">
      <c r="A14" s="46" t="s">
        <v>110</v>
      </c>
      <c r="B14" s="13" t="s">
        <v>66</v>
      </c>
      <c r="C14" s="13" t="s">
        <v>67</v>
      </c>
      <c r="D14" s="13" t="s">
        <v>276</v>
      </c>
      <c r="E14" s="13" t="s">
        <v>111</v>
      </c>
      <c r="F14" s="14">
        <f t="shared" si="2"/>
        <v>3803.4</v>
      </c>
      <c r="G14" s="14">
        <f t="shared" si="2"/>
        <v>3681.8</v>
      </c>
      <c r="H14" s="14">
        <f t="shared" si="0"/>
        <v>121.59999999999991</v>
      </c>
      <c r="I14" s="77">
        <f t="shared" si="1"/>
        <v>96.80286059841195</v>
      </c>
      <c r="L14" s="192"/>
      <c r="M14" s="191"/>
      <c r="N14" s="191"/>
      <c r="O14" s="195"/>
      <c r="P14" s="195"/>
      <c r="Q14" s="195"/>
      <c r="R14" s="7"/>
      <c r="S14" s="7"/>
    </row>
    <row r="15" spans="1:19" ht="18.75" customHeight="1">
      <c r="A15" s="46" t="s">
        <v>101</v>
      </c>
      <c r="B15" s="13" t="s">
        <v>66</v>
      </c>
      <c r="C15" s="13" t="s">
        <v>67</v>
      </c>
      <c r="D15" s="13" t="s">
        <v>276</v>
      </c>
      <c r="E15" s="13" t="s">
        <v>102</v>
      </c>
      <c r="F15" s="14">
        <f>F16+F17</f>
        <v>3803.4</v>
      </c>
      <c r="G15" s="14">
        <f>G16+G17</f>
        <v>3681.8</v>
      </c>
      <c r="H15" s="14">
        <f t="shared" si="0"/>
        <v>121.59999999999991</v>
      </c>
      <c r="I15" s="77">
        <f t="shared" si="1"/>
        <v>96.80286059841195</v>
      </c>
      <c r="M15" s="193"/>
      <c r="N15" s="191"/>
      <c r="O15" s="195"/>
      <c r="P15" s="195"/>
      <c r="Q15" s="195"/>
      <c r="R15" s="27"/>
      <c r="S15" s="27"/>
    </row>
    <row r="16" spans="1:19" ht="15.75" customHeight="1">
      <c r="A16" s="46" t="s">
        <v>176</v>
      </c>
      <c r="B16" s="13" t="s">
        <v>66</v>
      </c>
      <c r="C16" s="13" t="s">
        <v>67</v>
      </c>
      <c r="D16" s="13" t="s">
        <v>276</v>
      </c>
      <c r="E16" s="13" t="s">
        <v>103</v>
      </c>
      <c r="F16" s="14">
        <f>'пр. 4 Вед'!G18</f>
        <v>3198</v>
      </c>
      <c r="G16" s="14">
        <f>'пр. 4 Вед'!H18</f>
        <v>3092.8</v>
      </c>
      <c r="H16" s="14">
        <f t="shared" si="0"/>
        <v>105.19999999999982</v>
      </c>
      <c r="I16" s="77">
        <f t="shared" si="1"/>
        <v>96.71044402751721</v>
      </c>
      <c r="M16" s="193"/>
      <c r="N16" s="191"/>
      <c r="O16" s="195"/>
      <c r="P16" s="195"/>
      <c r="Q16" s="195"/>
      <c r="R16" s="27"/>
      <c r="S16" s="27"/>
    </row>
    <row r="17" spans="1:17" ht="25.5">
      <c r="A17" s="46" t="s">
        <v>178</v>
      </c>
      <c r="B17" s="13" t="s">
        <v>66</v>
      </c>
      <c r="C17" s="13" t="s">
        <v>67</v>
      </c>
      <c r="D17" s="13" t="s">
        <v>276</v>
      </c>
      <c r="E17" s="13" t="s">
        <v>177</v>
      </c>
      <c r="F17" s="14">
        <f>'пр. 4 Вед'!G19</f>
        <v>605.4</v>
      </c>
      <c r="G17" s="14">
        <f>'пр. 4 Вед'!H19</f>
        <v>589</v>
      </c>
      <c r="H17" s="14">
        <f t="shared" si="0"/>
        <v>16.399999999999977</v>
      </c>
      <c r="I17" s="77">
        <f t="shared" si="1"/>
        <v>97.29104724149323</v>
      </c>
      <c r="M17" s="191"/>
      <c r="N17" s="191"/>
      <c r="O17" s="195"/>
      <c r="P17" s="195"/>
      <c r="Q17" s="195"/>
    </row>
    <row r="18" spans="1:17" ht="25.5">
      <c r="A18" s="60" t="s">
        <v>20</v>
      </c>
      <c r="B18" s="29" t="s">
        <v>66</v>
      </c>
      <c r="C18" s="29" t="s">
        <v>70</v>
      </c>
      <c r="D18" s="29"/>
      <c r="E18" s="29"/>
      <c r="F18" s="30">
        <f>F19+F25+F42</f>
        <v>5692.2</v>
      </c>
      <c r="G18" s="30">
        <f>G19+G25+G42</f>
        <v>5591.2</v>
      </c>
      <c r="H18" s="30">
        <f t="shared" si="0"/>
        <v>101</v>
      </c>
      <c r="I18" s="82">
        <f t="shared" si="1"/>
        <v>98.22564210674255</v>
      </c>
      <c r="M18" s="191"/>
      <c r="N18" s="193"/>
      <c r="O18" s="196"/>
      <c r="P18" s="196"/>
      <c r="Q18" s="196"/>
    </row>
    <row r="19" spans="1:17" ht="12.75">
      <c r="A19" s="46" t="s">
        <v>503</v>
      </c>
      <c r="B19" s="13" t="s">
        <v>66</v>
      </c>
      <c r="C19" s="13" t="s">
        <v>70</v>
      </c>
      <c r="D19" s="13" t="s">
        <v>252</v>
      </c>
      <c r="E19" s="13"/>
      <c r="F19" s="14">
        <f aca="true" t="shared" si="3" ref="F19:G23">F20</f>
        <v>49</v>
      </c>
      <c r="G19" s="14">
        <f t="shared" si="3"/>
        <v>48.9</v>
      </c>
      <c r="H19" s="14">
        <f t="shared" si="0"/>
        <v>0.10000000000000142</v>
      </c>
      <c r="I19" s="77">
        <f t="shared" si="1"/>
        <v>99.79591836734694</v>
      </c>
      <c r="M19" s="191"/>
      <c r="N19" s="193"/>
      <c r="O19" s="196"/>
      <c r="P19" s="196"/>
      <c r="Q19" s="196"/>
    </row>
    <row r="20" spans="1:17" ht="12.75">
      <c r="A20" s="46" t="s">
        <v>504</v>
      </c>
      <c r="B20" s="13" t="s">
        <v>66</v>
      </c>
      <c r="C20" s="13" t="s">
        <v>70</v>
      </c>
      <c r="D20" s="13" t="s">
        <v>501</v>
      </c>
      <c r="E20" s="13"/>
      <c r="F20" s="14">
        <f t="shared" si="3"/>
        <v>49</v>
      </c>
      <c r="G20" s="14">
        <f t="shared" si="3"/>
        <v>48.9</v>
      </c>
      <c r="H20" s="14">
        <f t="shared" si="0"/>
        <v>0.10000000000000142</v>
      </c>
      <c r="I20" s="77">
        <f t="shared" si="1"/>
        <v>99.79591836734694</v>
      </c>
      <c r="M20" s="191"/>
      <c r="N20" s="191"/>
      <c r="O20" s="195"/>
      <c r="P20" s="195"/>
      <c r="Q20" s="195"/>
    </row>
    <row r="21" spans="1:17" ht="38.25">
      <c r="A21" s="46" t="s">
        <v>271</v>
      </c>
      <c r="B21" s="13" t="s">
        <v>66</v>
      </c>
      <c r="C21" s="13" t="s">
        <v>70</v>
      </c>
      <c r="D21" s="13" t="s">
        <v>502</v>
      </c>
      <c r="E21" s="13"/>
      <c r="F21" s="14">
        <f t="shared" si="3"/>
        <v>49</v>
      </c>
      <c r="G21" s="14">
        <f t="shared" si="3"/>
        <v>48.9</v>
      </c>
      <c r="H21" s="14">
        <f t="shared" si="0"/>
        <v>0.10000000000000142</v>
      </c>
      <c r="I21" s="77">
        <f t="shared" si="1"/>
        <v>99.79591836734694</v>
      </c>
      <c r="M21" s="191"/>
      <c r="N21" s="191"/>
      <c r="O21" s="195"/>
      <c r="P21" s="195"/>
      <c r="Q21" s="195"/>
    </row>
    <row r="22" spans="1:17" ht="38.25">
      <c r="A22" s="46" t="s">
        <v>110</v>
      </c>
      <c r="B22" s="13" t="s">
        <v>66</v>
      </c>
      <c r="C22" s="13" t="s">
        <v>70</v>
      </c>
      <c r="D22" s="13" t="s">
        <v>502</v>
      </c>
      <c r="E22" s="13" t="s">
        <v>111</v>
      </c>
      <c r="F22" s="14">
        <f>F23</f>
        <v>49</v>
      </c>
      <c r="G22" s="14">
        <f t="shared" si="3"/>
        <v>48.9</v>
      </c>
      <c r="H22" s="14">
        <f t="shared" si="0"/>
        <v>0.10000000000000142</v>
      </c>
      <c r="I22" s="77">
        <f t="shared" si="1"/>
        <v>99.79591836734694</v>
      </c>
      <c r="M22" s="191"/>
      <c r="N22" s="191"/>
      <c r="O22" s="195"/>
      <c r="P22" s="195"/>
      <c r="Q22" s="195"/>
    </row>
    <row r="23" spans="1:17" ht="12.75">
      <c r="A23" s="46" t="s">
        <v>101</v>
      </c>
      <c r="B23" s="13" t="s">
        <v>66</v>
      </c>
      <c r="C23" s="13" t="s">
        <v>70</v>
      </c>
      <c r="D23" s="13" t="s">
        <v>502</v>
      </c>
      <c r="E23" s="13" t="s">
        <v>102</v>
      </c>
      <c r="F23" s="14">
        <f>F24</f>
        <v>49</v>
      </c>
      <c r="G23" s="14">
        <f t="shared" si="3"/>
        <v>48.9</v>
      </c>
      <c r="H23" s="14">
        <f t="shared" si="0"/>
        <v>0.10000000000000142</v>
      </c>
      <c r="I23" s="77">
        <f t="shared" si="1"/>
        <v>99.79591836734694</v>
      </c>
      <c r="M23" s="191"/>
      <c r="N23" s="191"/>
      <c r="O23" s="195"/>
      <c r="P23" s="195"/>
      <c r="Q23" s="195"/>
    </row>
    <row r="24" spans="1:17" ht="25.5">
      <c r="A24" s="46" t="s">
        <v>104</v>
      </c>
      <c r="B24" s="13" t="s">
        <v>66</v>
      </c>
      <c r="C24" s="13" t="s">
        <v>70</v>
      </c>
      <c r="D24" s="13" t="s">
        <v>502</v>
      </c>
      <c r="E24" s="13" t="s">
        <v>105</v>
      </c>
      <c r="F24" s="14">
        <f>'пр. 4 Вед'!G360</f>
        <v>49</v>
      </c>
      <c r="G24" s="14">
        <f>'пр. 4 Вед'!H360</f>
        <v>48.9</v>
      </c>
      <c r="H24" s="14">
        <f t="shared" si="0"/>
        <v>0.10000000000000142</v>
      </c>
      <c r="I24" s="77">
        <f t="shared" si="1"/>
        <v>99.79591836734694</v>
      </c>
      <c r="M24" s="191"/>
      <c r="N24" s="191"/>
      <c r="O24" s="195"/>
      <c r="P24" s="195"/>
      <c r="Q24" s="195"/>
    </row>
    <row r="25" spans="1:17" ht="18.75" customHeight="1">
      <c r="A25" s="46" t="s">
        <v>557</v>
      </c>
      <c r="B25" s="13" t="s">
        <v>66</v>
      </c>
      <c r="C25" s="13" t="s">
        <v>70</v>
      </c>
      <c r="D25" s="13" t="s">
        <v>251</v>
      </c>
      <c r="E25" s="13"/>
      <c r="F25" s="14">
        <f>F26</f>
        <v>2226.2</v>
      </c>
      <c r="G25" s="14">
        <f>G26</f>
        <v>2152.1</v>
      </c>
      <c r="H25" s="14">
        <f t="shared" si="0"/>
        <v>74.09999999999991</v>
      </c>
      <c r="I25" s="77">
        <f t="shared" si="1"/>
        <v>96.67145809001887</v>
      </c>
      <c r="M25" s="191"/>
      <c r="N25" s="191"/>
      <c r="O25" s="195"/>
      <c r="P25" s="195"/>
      <c r="Q25" s="195"/>
    </row>
    <row r="26" spans="1:17" ht="12.75">
      <c r="A26" s="46" t="s">
        <v>50</v>
      </c>
      <c r="B26" s="13" t="s">
        <v>66</v>
      </c>
      <c r="C26" s="13" t="s">
        <v>70</v>
      </c>
      <c r="D26" s="13" t="s">
        <v>277</v>
      </c>
      <c r="E26" s="13"/>
      <c r="F26" s="14">
        <f>F27+F33</f>
        <v>2226.2</v>
      </c>
      <c r="G26" s="14">
        <f>G27+G33</f>
        <v>2152.1</v>
      </c>
      <c r="H26" s="14">
        <f t="shared" si="0"/>
        <v>74.09999999999991</v>
      </c>
      <c r="I26" s="77">
        <f t="shared" si="1"/>
        <v>96.67145809001887</v>
      </c>
      <c r="M26" s="191"/>
      <c r="N26" s="191"/>
      <c r="O26" s="195"/>
      <c r="P26" s="195"/>
      <c r="Q26" s="195"/>
    </row>
    <row r="27" spans="1:17" ht="12.75">
      <c r="A27" s="46" t="s">
        <v>273</v>
      </c>
      <c r="B27" s="13" t="s">
        <v>66</v>
      </c>
      <c r="C27" s="13" t="s">
        <v>70</v>
      </c>
      <c r="D27" s="13" t="s">
        <v>278</v>
      </c>
      <c r="E27" s="13"/>
      <c r="F27" s="14">
        <f>F28</f>
        <v>1767.5</v>
      </c>
      <c r="G27" s="14">
        <f>G28</f>
        <v>1758.4</v>
      </c>
      <c r="H27" s="14">
        <f t="shared" si="0"/>
        <v>9.099999999999909</v>
      </c>
      <c r="I27" s="77">
        <f t="shared" si="1"/>
        <v>99.4851485148515</v>
      </c>
      <c r="M27" s="191"/>
      <c r="N27" s="191"/>
      <c r="O27" s="195"/>
      <c r="P27" s="195"/>
      <c r="Q27" s="195"/>
    </row>
    <row r="28" spans="1:17" ht="38.25">
      <c r="A28" s="46" t="s">
        <v>110</v>
      </c>
      <c r="B28" s="13" t="s">
        <v>66</v>
      </c>
      <c r="C28" s="13" t="s">
        <v>70</v>
      </c>
      <c r="D28" s="13" t="s">
        <v>278</v>
      </c>
      <c r="E28" s="13" t="s">
        <v>111</v>
      </c>
      <c r="F28" s="14">
        <f>F29</f>
        <v>1767.5</v>
      </c>
      <c r="G28" s="14">
        <f>G29</f>
        <v>1758.4</v>
      </c>
      <c r="H28" s="14">
        <f t="shared" si="0"/>
        <v>9.099999999999909</v>
      </c>
      <c r="I28" s="77">
        <f t="shared" si="1"/>
        <v>99.4851485148515</v>
      </c>
      <c r="M28" s="191"/>
      <c r="N28" s="191"/>
      <c r="O28" s="195"/>
      <c r="P28" s="195"/>
      <c r="Q28" s="195"/>
    </row>
    <row r="29" spans="1:17" ht="12.75">
      <c r="A29" s="46" t="s">
        <v>101</v>
      </c>
      <c r="B29" s="13" t="s">
        <v>66</v>
      </c>
      <c r="C29" s="13" t="s">
        <v>70</v>
      </c>
      <c r="D29" s="13" t="s">
        <v>278</v>
      </c>
      <c r="E29" s="13" t="s">
        <v>102</v>
      </c>
      <c r="F29" s="14">
        <f>F30+F31+F32</f>
        <v>1767.5</v>
      </c>
      <c r="G29" s="14">
        <f>G30+G31+G32</f>
        <v>1758.4</v>
      </c>
      <c r="H29" s="14">
        <f t="shared" si="0"/>
        <v>9.099999999999909</v>
      </c>
      <c r="I29" s="77">
        <f t="shared" si="1"/>
        <v>99.4851485148515</v>
      </c>
      <c r="M29" s="191"/>
      <c r="N29" s="191"/>
      <c r="O29" s="195"/>
      <c r="P29" s="195"/>
      <c r="Q29" s="195"/>
    </row>
    <row r="30" spans="1:17" ht="12.75">
      <c r="A30" s="46" t="s">
        <v>176</v>
      </c>
      <c r="B30" s="13" t="s">
        <v>66</v>
      </c>
      <c r="C30" s="13" t="s">
        <v>70</v>
      </c>
      <c r="D30" s="13" t="s">
        <v>278</v>
      </c>
      <c r="E30" s="13" t="s">
        <v>103</v>
      </c>
      <c r="F30" s="14">
        <f>'пр. 4 Вед'!G366</f>
        <v>1340</v>
      </c>
      <c r="G30" s="14">
        <f>'пр. 4 Вед'!H366</f>
        <v>1337.9</v>
      </c>
      <c r="H30" s="14">
        <f t="shared" si="0"/>
        <v>2.099999999999909</v>
      </c>
      <c r="I30" s="77">
        <f t="shared" si="1"/>
        <v>99.84328358208955</v>
      </c>
      <c r="M30" s="191"/>
      <c r="N30" s="191"/>
      <c r="O30" s="195"/>
      <c r="P30" s="195"/>
      <c r="Q30" s="195"/>
    </row>
    <row r="31" spans="1:17" ht="25.5">
      <c r="A31" s="46" t="s">
        <v>104</v>
      </c>
      <c r="B31" s="13" t="s">
        <v>66</v>
      </c>
      <c r="C31" s="13" t="s">
        <v>70</v>
      </c>
      <c r="D31" s="13" t="s">
        <v>278</v>
      </c>
      <c r="E31" s="13" t="s">
        <v>105</v>
      </c>
      <c r="F31" s="14">
        <f>'пр. 4 Вед'!G367</f>
        <v>20</v>
      </c>
      <c r="G31" s="14">
        <f>'пр. 4 Вед'!H367</f>
        <v>14.7</v>
      </c>
      <c r="H31" s="14">
        <f t="shared" si="0"/>
        <v>5.300000000000001</v>
      </c>
      <c r="I31" s="77">
        <f t="shared" si="1"/>
        <v>73.5</v>
      </c>
      <c r="M31" s="191"/>
      <c r="N31" s="191"/>
      <c r="O31" s="195"/>
      <c r="P31" s="195"/>
      <c r="Q31" s="195"/>
    </row>
    <row r="32" spans="1:17" ht="25.5">
      <c r="A32" s="46" t="s">
        <v>178</v>
      </c>
      <c r="B32" s="13" t="s">
        <v>66</v>
      </c>
      <c r="C32" s="13" t="s">
        <v>70</v>
      </c>
      <c r="D32" s="13" t="s">
        <v>278</v>
      </c>
      <c r="E32" s="13" t="s">
        <v>177</v>
      </c>
      <c r="F32" s="14">
        <f>'пр. 4 Вед'!G368</f>
        <v>407.5</v>
      </c>
      <c r="G32" s="14">
        <f>'пр. 4 Вед'!H368</f>
        <v>405.8</v>
      </c>
      <c r="H32" s="14">
        <f t="shared" si="0"/>
        <v>1.6999999999999886</v>
      </c>
      <c r="I32" s="77">
        <f t="shared" si="1"/>
        <v>99.58282208588957</v>
      </c>
      <c r="M32" s="191"/>
      <c r="N32" s="191"/>
      <c r="O32" s="195"/>
      <c r="P32" s="195"/>
      <c r="Q32" s="195"/>
    </row>
    <row r="33" spans="1:17" ht="12.75">
      <c r="A33" s="46" t="s">
        <v>274</v>
      </c>
      <c r="B33" s="13" t="s">
        <v>66</v>
      </c>
      <c r="C33" s="13" t="s">
        <v>70</v>
      </c>
      <c r="D33" s="13" t="s">
        <v>279</v>
      </c>
      <c r="E33" s="13"/>
      <c r="F33" s="14">
        <f>F34+F37</f>
        <v>458.7</v>
      </c>
      <c r="G33" s="14">
        <f>G34+G37</f>
        <v>393.7</v>
      </c>
      <c r="H33" s="14">
        <f t="shared" si="0"/>
        <v>65</v>
      </c>
      <c r="I33" s="77">
        <f t="shared" si="1"/>
        <v>85.82951820361893</v>
      </c>
      <c r="M33" s="191"/>
      <c r="N33" s="191"/>
      <c r="O33" s="195"/>
      <c r="P33" s="195"/>
      <c r="Q33" s="195"/>
    </row>
    <row r="34" spans="1:17" ht="12.75">
      <c r="A34" s="46" t="s">
        <v>770</v>
      </c>
      <c r="B34" s="13" t="s">
        <v>66</v>
      </c>
      <c r="C34" s="13" t="s">
        <v>70</v>
      </c>
      <c r="D34" s="13" t="s">
        <v>279</v>
      </c>
      <c r="E34" s="13" t="s">
        <v>113</v>
      </c>
      <c r="F34" s="14">
        <f>F35</f>
        <v>456.2</v>
      </c>
      <c r="G34" s="14">
        <f>G35</f>
        <v>393.7</v>
      </c>
      <c r="H34" s="14">
        <f t="shared" si="0"/>
        <v>62.5</v>
      </c>
      <c r="I34" s="77">
        <f t="shared" si="1"/>
        <v>86.2998684787374</v>
      </c>
      <c r="M34" s="191"/>
      <c r="N34" s="191"/>
      <c r="O34" s="195"/>
      <c r="P34" s="195"/>
      <c r="Q34" s="195"/>
    </row>
    <row r="35" spans="1:17" ht="21" customHeight="1">
      <c r="A35" s="46" t="s">
        <v>106</v>
      </c>
      <c r="B35" s="13" t="s">
        <v>66</v>
      </c>
      <c r="C35" s="13" t="s">
        <v>70</v>
      </c>
      <c r="D35" s="13" t="s">
        <v>279</v>
      </c>
      <c r="E35" s="13" t="s">
        <v>107</v>
      </c>
      <c r="F35" s="14">
        <f>F36</f>
        <v>456.2</v>
      </c>
      <c r="G35" s="14">
        <f>G36</f>
        <v>393.7</v>
      </c>
      <c r="H35" s="14">
        <f t="shared" si="0"/>
        <v>62.5</v>
      </c>
      <c r="I35" s="77">
        <f t="shared" si="1"/>
        <v>86.2998684787374</v>
      </c>
      <c r="M35" s="191"/>
      <c r="N35" s="191"/>
      <c r="O35" s="195"/>
      <c r="P35" s="195"/>
      <c r="Q35" s="195"/>
    </row>
    <row r="36" spans="1:17" ht="25.5">
      <c r="A36" s="46" t="s">
        <v>108</v>
      </c>
      <c r="B36" s="13" t="s">
        <v>66</v>
      </c>
      <c r="C36" s="13" t="s">
        <v>70</v>
      </c>
      <c r="D36" s="13" t="s">
        <v>279</v>
      </c>
      <c r="E36" s="13" t="s">
        <v>109</v>
      </c>
      <c r="F36" s="14">
        <f>'пр. 4 Вед'!G372</f>
        <v>456.2</v>
      </c>
      <c r="G36" s="14">
        <f>'пр. 4 Вед'!H372</f>
        <v>393.7</v>
      </c>
      <c r="H36" s="14">
        <f t="shared" si="0"/>
        <v>62.5</v>
      </c>
      <c r="I36" s="77">
        <f t="shared" si="1"/>
        <v>86.2998684787374</v>
      </c>
      <c r="M36" s="191"/>
      <c r="N36" s="191"/>
      <c r="O36" s="195"/>
      <c r="P36" s="195"/>
      <c r="Q36" s="195"/>
    </row>
    <row r="37" spans="1:17" ht="12.75">
      <c r="A37" s="46" t="s">
        <v>137</v>
      </c>
      <c r="B37" s="13" t="s">
        <v>66</v>
      </c>
      <c r="C37" s="13" t="s">
        <v>70</v>
      </c>
      <c r="D37" s="13" t="s">
        <v>279</v>
      </c>
      <c r="E37" s="13" t="s">
        <v>138</v>
      </c>
      <c r="F37" s="14">
        <f>F38</f>
        <v>2.5</v>
      </c>
      <c r="G37" s="14">
        <f>G38</f>
        <v>0</v>
      </c>
      <c r="H37" s="14">
        <f t="shared" si="0"/>
        <v>2.5</v>
      </c>
      <c r="I37" s="77">
        <f t="shared" si="1"/>
        <v>0</v>
      </c>
      <c r="M37" s="191"/>
      <c r="N37" s="191"/>
      <c r="O37" s="195"/>
      <c r="P37" s="195"/>
      <c r="Q37" s="195"/>
    </row>
    <row r="38" spans="1:17" ht="12.75">
      <c r="A38" s="46" t="s">
        <v>140</v>
      </c>
      <c r="B38" s="13" t="s">
        <v>66</v>
      </c>
      <c r="C38" s="13" t="s">
        <v>70</v>
      </c>
      <c r="D38" s="13" t="s">
        <v>279</v>
      </c>
      <c r="E38" s="13" t="s">
        <v>141</v>
      </c>
      <c r="F38" s="14">
        <f>F39+F40+F41</f>
        <v>2.5</v>
      </c>
      <c r="G38" s="14">
        <f>G39+G40+G41</f>
        <v>0</v>
      </c>
      <c r="H38" s="14">
        <f t="shared" si="0"/>
        <v>2.5</v>
      </c>
      <c r="I38" s="77">
        <f t="shared" si="1"/>
        <v>0</v>
      </c>
      <c r="M38" s="191"/>
      <c r="N38" s="191"/>
      <c r="O38" s="195"/>
      <c r="P38" s="195"/>
      <c r="Q38" s="195"/>
    </row>
    <row r="39" spans="1:17" ht="12.75">
      <c r="A39" s="46" t="s">
        <v>142</v>
      </c>
      <c r="B39" s="13" t="s">
        <v>66</v>
      </c>
      <c r="C39" s="13" t="s">
        <v>70</v>
      </c>
      <c r="D39" s="13" t="s">
        <v>279</v>
      </c>
      <c r="E39" s="13" t="s">
        <v>143</v>
      </c>
      <c r="F39" s="14">
        <f>'пр. 4 Вед'!G375</f>
        <v>0.5</v>
      </c>
      <c r="G39" s="14">
        <f>'пр. 4 Вед'!H375</f>
        <v>0</v>
      </c>
      <c r="H39" s="14">
        <f t="shared" si="0"/>
        <v>0.5</v>
      </c>
      <c r="I39" s="77">
        <f t="shared" si="1"/>
        <v>0</v>
      </c>
      <c r="M39" s="191"/>
      <c r="N39" s="191"/>
      <c r="O39" s="195"/>
      <c r="P39" s="195"/>
      <c r="Q39" s="195"/>
    </row>
    <row r="40" spans="1:17" ht="12.75">
      <c r="A40" s="46" t="s">
        <v>179</v>
      </c>
      <c r="B40" s="13" t="s">
        <v>66</v>
      </c>
      <c r="C40" s="13" t="s">
        <v>70</v>
      </c>
      <c r="D40" s="13" t="s">
        <v>279</v>
      </c>
      <c r="E40" s="13" t="s">
        <v>144</v>
      </c>
      <c r="F40" s="14">
        <f>'пр. 4 Вед'!G376</f>
        <v>1</v>
      </c>
      <c r="G40" s="14">
        <f>'пр. 4 Вед'!H376</f>
        <v>0</v>
      </c>
      <c r="H40" s="14">
        <f t="shared" si="0"/>
        <v>1</v>
      </c>
      <c r="I40" s="77">
        <f t="shared" si="1"/>
        <v>0</v>
      </c>
      <c r="M40" s="191"/>
      <c r="N40" s="191"/>
      <c r="O40" s="195"/>
      <c r="P40" s="195"/>
      <c r="Q40" s="195"/>
    </row>
    <row r="41" spans="1:17" ht="12.75">
      <c r="A41" s="46" t="s">
        <v>180</v>
      </c>
      <c r="B41" s="13" t="s">
        <v>66</v>
      </c>
      <c r="C41" s="13" t="s">
        <v>70</v>
      </c>
      <c r="D41" s="13" t="s">
        <v>279</v>
      </c>
      <c r="E41" s="13" t="s">
        <v>181</v>
      </c>
      <c r="F41" s="14">
        <f>'пр. 4 Вед'!G377</f>
        <v>1</v>
      </c>
      <c r="G41" s="14">
        <f>'пр. 4 Вед'!H377</f>
        <v>0</v>
      </c>
      <c r="H41" s="14">
        <f t="shared" si="0"/>
        <v>1</v>
      </c>
      <c r="I41" s="77">
        <f t="shared" si="1"/>
        <v>0</v>
      </c>
      <c r="M41" s="191"/>
      <c r="N41" s="191"/>
      <c r="O41" s="195"/>
      <c r="P41" s="195"/>
      <c r="Q41" s="195"/>
    </row>
    <row r="42" spans="1:17" ht="12.75">
      <c r="A42" s="46" t="s">
        <v>184</v>
      </c>
      <c r="B42" s="13" t="s">
        <v>66</v>
      </c>
      <c r="C42" s="13" t="s">
        <v>70</v>
      </c>
      <c r="D42" s="13" t="s">
        <v>283</v>
      </c>
      <c r="E42" s="13"/>
      <c r="F42" s="14">
        <f aca="true" t="shared" si="4" ref="F42:G44">F43</f>
        <v>3417</v>
      </c>
      <c r="G42" s="14">
        <f t="shared" si="4"/>
        <v>3390.2</v>
      </c>
      <c r="H42" s="14">
        <f t="shared" si="0"/>
        <v>26.800000000000182</v>
      </c>
      <c r="I42" s="77">
        <f t="shared" si="1"/>
        <v>99.21568627450979</v>
      </c>
      <c r="M42" s="191"/>
      <c r="N42" s="191"/>
      <c r="O42" s="195"/>
      <c r="P42" s="195"/>
      <c r="Q42" s="195"/>
    </row>
    <row r="43" spans="1:17" ht="12.75">
      <c r="A43" s="46" t="s">
        <v>273</v>
      </c>
      <c r="B43" s="13" t="s">
        <v>66</v>
      </c>
      <c r="C43" s="13" t="s">
        <v>70</v>
      </c>
      <c r="D43" s="13" t="s">
        <v>282</v>
      </c>
      <c r="E43" s="13"/>
      <c r="F43" s="14">
        <f t="shared" si="4"/>
        <v>3417</v>
      </c>
      <c r="G43" s="14">
        <f t="shared" si="4"/>
        <v>3390.2</v>
      </c>
      <c r="H43" s="14">
        <f t="shared" si="0"/>
        <v>26.800000000000182</v>
      </c>
      <c r="I43" s="77">
        <f t="shared" si="1"/>
        <v>99.21568627450979</v>
      </c>
      <c r="M43" s="191"/>
      <c r="N43" s="191"/>
      <c r="O43" s="195"/>
      <c r="P43" s="195"/>
      <c r="Q43" s="195"/>
    </row>
    <row r="44" spans="1:17" ht="38.25">
      <c r="A44" s="46" t="s">
        <v>110</v>
      </c>
      <c r="B44" s="13" t="s">
        <v>66</v>
      </c>
      <c r="C44" s="13" t="s">
        <v>70</v>
      </c>
      <c r="D44" s="13" t="s">
        <v>282</v>
      </c>
      <c r="E44" s="13" t="s">
        <v>111</v>
      </c>
      <c r="F44" s="14">
        <f t="shared" si="4"/>
        <v>3417</v>
      </c>
      <c r="G44" s="14">
        <f t="shared" si="4"/>
        <v>3390.2</v>
      </c>
      <c r="H44" s="14">
        <f t="shared" si="0"/>
        <v>26.800000000000182</v>
      </c>
      <c r="I44" s="77">
        <f t="shared" si="1"/>
        <v>99.21568627450979</v>
      </c>
      <c r="M44" s="191"/>
      <c r="N44" s="191"/>
      <c r="O44" s="195"/>
      <c r="P44" s="195"/>
      <c r="Q44" s="195"/>
    </row>
    <row r="45" spans="1:17" ht="12.75">
      <c r="A45" s="46" t="s">
        <v>101</v>
      </c>
      <c r="B45" s="13" t="s">
        <v>66</v>
      </c>
      <c r="C45" s="13" t="s">
        <v>70</v>
      </c>
      <c r="D45" s="13" t="s">
        <v>282</v>
      </c>
      <c r="E45" s="13" t="s">
        <v>102</v>
      </c>
      <c r="F45" s="14">
        <f>F46+F47</f>
        <v>3417</v>
      </c>
      <c r="G45" s="14">
        <f>G46+G47</f>
        <v>3390.2</v>
      </c>
      <c r="H45" s="14">
        <f t="shared" si="0"/>
        <v>26.800000000000182</v>
      </c>
      <c r="I45" s="77">
        <f t="shared" si="1"/>
        <v>99.21568627450979</v>
      </c>
      <c r="M45" s="191"/>
      <c r="N45" s="191"/>
      <c r="O45" s="195"/>
      <c r="P45" s="195"/>
      <c r="Q45" s="195"/>
    </row>
    <row r="46" spans="1:17" ht="12.75">
      <c r="A46" s="46" t="s">
        <v>176</v>
      </c>
      <c r="B46" s="13" t="s">
        <v>66</v>
      </c>
      <c r="C46" s="13" t="s">
        <v>70</v>
      </c>
      <c r="D46" s="13" t="s">
        <v>282</v>
      </c>
      <c r="E46" s="13" t="s">
        <v>103</v>
      </c>
      <c r="F46" s="14">
        <f>'пр. 4 Вед'!G382</f>
        <v>2863</v>
      </c>
      <c r="G46" s="14">
        <f>'пр. 4 Вед'!H382</f>
        <v>2839.4</v>
      </c>
      <c r="H46" s="14">
        <f t="shared" si="0"/>
        <v>23.59999999999991</v>
      </c>
      <c r="I46" s="77">
        <f t="shared" si="1"/>
        <v>99.17568983583654</v>
      </c>
      <c r="M46" s="191"/>
      <c r="N46" s="191"/>
      <c r="O46" s="195"/>
      <c r="P46" s="195"/>
      <c r="Q46" s="195"/>
    </row>
    <row r="47" spans="1:17" ht="25.5">
      <c r="A47" s="46" t="s">
        <v>178</v>
      </c>
      <c r="B47" s="13" t="s">
        <v>66</v>
      </c>
      <c r="C47" s="13" t="s">
        <v>70</v>
      </c>
      <c r="D47" s="13" t="s">
        <v>282</v>
      </c>
      <c r="E47" s="13" t="s">
        <v>177</v>
      </c>
      <c r="F47" s="14">
        <f>'пр. 4 Вед'!G383</f>
        <v>554</v>
      </c>
      <c r="G47" s="14">
        <f>'пр. 4 Вед'!H383</f>
        <v>550.8</v>
      </c>
      <c r="H47" s="14">
        <f t="shared" si="0"/>
        <v>3.2000000000000455</v>
      </c>
      <c r="I47" s="77">
        <f t="shared" si="1"/>
        <v>99.42238267148014</v>
      </c>
      <c r="M47" s="191"/>
      <c r="N47" s="191"/>
      <c r="O47" s="195"/>
      <c r="P47" s="195"/>
      <c r="Q47" s="195"/>
    </row>
    <row r="48" spans="1:17" ht="38.25">
      <c r="A48" s="60" t="s">
        <v>17</v>
      </c>
      <c r="B48" s="29" t="s">
        <v>66</v>
      </c>
      <c r="C48" s="29" t="s">
        <v>68</v>
      </c>
      <c r="D48" s="29"/>
      <c r="E48" s="29"/>
      <c r="F48" s="30">
        <f>F49+F59</f>
        <v>110330.40000000002</v>
      </c>
      <c r="G48" s="30">
        <f>G49+G59</f>
        <v>108530</v>
      </c>
      <c r="H48" s="30">
        <f t="shared" si="0"/>
        <v>1800.4000000000233</v>
      </c>
      <c r="I48" s="82">
        <f t="shared" si="1"/>
        <v>98.36817413876862</v>
      </c>
      <c r="M48" s="191"/>
      <c r="N48" s="191"/>
      <c r="O48" s="195"/>
      <c r="P48" s="195"/>
      <c r="Q48" s="195"/>
    </row>
    <row r="49" spans="1:17" ht="12.75">
      <c r="A49" s="46" t="s">
        <v>503</v>
      </c>
      <c r="B49" s="13" t="s">
        <v>66</v>
      </c>
      <c r="C49" s="13" t="s">
        <v>68</v>
      </c>
      <c r="D49" s="13" t="s">
        <v>252</v>
      </c>
      <c r="E49" s="29"/>
      <c r="F49" s="14">
        <f>F50</f>
        <v>2156.6</v>
      </c>
      <c r="G49" s="14">
        <f>G50</f>
        <v>2132.5</v>
      </c>
      <c r="H49" s="14">
        <f t="shared" si="0"/>
        <v>24.09999999999991</v>
      </c>
      <c r="I49" s="77">
        <f t="shared" si="1"/>
        <v>98.88250023184642</v>
      </c>
      <c r="M49" s="191"/>
      <c r="N49" s="191"/>
      <c r="O49" s="195"/>
      <c r="P49" s="195"/>
      <c r="Q49" s="195"/>
    </row>
    <row r="50" spans="1:17" ht="12.75">
      <c r="A50" s="46" t="s">
        <v>506</v>
      </c>
      <c r="B50" s="13" t="s">
        <v>66</v>
      </c>
      <c r="C50" s="13" t="s">
        <v>68</v>
      </c>
      <c r="D50" s="13" t="s">
        <v>501</v>
      </c>
      <c r="E50" s="13"/>
      <c r="F50" s="14">
        <f>F51+F55</f>
        <v>2156.6</v>
      </c>
      <c r="G50" s="14">
        <f>G51+G55</f>
        <v>2132.5</v>
      </c>
      <c r="H50" s="14">
        <f t="shared" si="0"/>
        <v>24.09999999999991</v>
      </c>
      <c r="I50" s="77">
        <f t="shared" si="1"/>
        <v>98.88250023184642</v>
      </c>
      <c r="M50" s="191"/>
      <c r="N50" s="191"/>
      <c r="O50" s="195"/>
      <c r="P50" s="195"/>
      <c r="Q50" s="195"/>
    </row>
    <row r="51" spans="1:17" ht="38.25">
      <c r="A51" s="46" t="s">
        <v>381</v>
      </c>
      <c r="B51" s="13" t="s">
        <v>66</v>
      </c>
      <c r="C51" s="13" t="s">
        <v>68</v>
      </c>
      <c r="D51" s="13" t="s">
        <v>502</v>
      </c>
      <c r="E51" s="13"/>
      <c r="F51" s="14">
        <f aca="true" t="shared" si="5" ref="F51:G53">F52</f>
        <v>2101.6</v>
      </c>
      <c r="G51" s="14">
        <f t="shared" si="5"/>
        <v>2081.8</v>
      </c>
      <c r="H51" s="14">
        <f t="shared" si="0"/>
        <v>19.799999999999727</v>
      </c>
      <c r="I51" s="77">
        <f t="shared" si="1"/>
        <v>99.057860677579</v>
      </c>
      <c r="M51" s="191"/>
      <c r="O51" s="195"/>
      <c r="P51" s="195"/>
      <c r="Q51" s="195"/>
    </row>
    <row r="52" spans="1:17" ht="38.25">
      <c r="A52" s="46" t="s">
        <v>110</v>
      </c>
      <c r="B52" s="13" t="s">
        <v>66</v>
      </c>
      <c r="C52" s="13" t="s">
        <v>68</v>
      </c>
      <c r="D52" s="13" t="s">
        <v>502</v>
      </c>
      <c r="E52" s="13" t="s">
        <v>111</v>
      </c>
      <c r="F52" s="14">
        <f t="shared" si="5"/>
        <v>2101.6</v>
      </c>
      <c r="G52" s="14">
        <f t="shared" si="5"/>
        <v>2081.8</v>
      </c>
      <c r="H52" s="14">
        <f t="shared" si="0"/>
        <v>19.799999999999727</v>
      </c>
      <c r="I52" s="77">
        <f t="shared" si="1"/>
        <v>99.057860677579</v>
      </c>
      <c r="M52" s="191"/>
      <c r="O52" s="191"/>
      <c r="P52" s="195"/>
      <c r="Q52" s="195"/>
    </row>
    <row r="53" spans="1:17" ht="12.75">
      <c r="A53" s="46" t="s">
        <v>101</v>
      </c>
      <c r="B53" s="13" t="s">
        <v>66</v>
      </c>
      <c r="C53" s="13" t="s">
        <v>68</v>
      </c>
      <c r="D53" s="13" t="s">
        <v>502</v>
      </c>
      <c r="E53" s="13" t="s">
        <v>102</v>
      </c>
      <c r="F53" s="14">
        <f>F54</f>
        <v>2101.6</v>
      </c>
      <c r="G53" s="14">
        <f t="shared" si="5"/>
        <v>2081.8</v>
      </c>
      <c r="H53" s="14">
        <f t="shared" si="0"/>
        <v>19.799999999999727</v>
      </c>
      <c r="I53" s="77">
        <f t="shared" si="1"/>
        <v>99.057860677579</v>
      </c>
      <c r="M53" s="191"/>
      <c r="O53" s="191"/>
      <c r="P53" s="195"/>
      <c r="Q53" s="195"/>
    </row>
    <row r="54" spans="1:17" ht="25.5">
      <c r="A54" s="46" t="s">
        <v>104</v>
      </c>
      <c r="B54" s="13" t="s">
        <v>66</v>
      </c>
      <c r="C54" s="13" t="s">
        <v>68</v>
      </c>
      <c r="D54" s="13" t="s">
        <v>502</v>
      </c>
      <c r="E54" s="13" t="s">
        <v>105</v>
      </c>
      <c r="F54" s="14">
        <f>'пр. 4 Вед'!G26</f>
        <v>2101.6</v>
      </c>
      <c r="G54" s="14">
        <f>'пр. 4 Вед'!H26</f>
        <v>2081.8</v>
      </c>
      <c r="H54" s="14">
        <f t="shared" si="0"/>
        <v>19.799999999999727</v>
      </c>
      <c r="I54" s="77">
        <f t="shared" si="1"/>
        <v>99.057860677579</v>
      </c>
      <c r="N54" s="191"/>
      <c r="O54" s="191"/>
      <c r="P54" s="195"/>
      <c r="Q54" s="195"/>
    </row>
    <row r="55" spans="1:9" ht="12.75">
      <c r="A55" s="46" t="s">
        <v>272</v>
      </c>
      <c r="B55" s="13" t="s">
        <v>66</v>
      </c>
      <c r="C55" s="13" t="s">
        <v>68</v>
      </c>
      <c r="D55" s="13" t="s">
        <v>505</v>
      </c>
      <c r="E55" s="13"/>
      <c r="F55" s="14">
        <f aca="true" t="shared" si="6" ref="F55:G57">F56</f>
        <v>55</v>
      </c>
      <c r="G55" s="14">
        <f t="shared" si="6"/>
        <v>50.7</v>
      </c>
      <c r="H55" s="14">
        <f t="shared" si="0"/>
        <v>4.299999999999997</v>
      </c>
      <c r="I55" s="77">
        <f t="shared" si="1"/>
        <v>92.18181818181819</v>
      </c>
    </row>
    <row r="56" spans="1:16" ht="38.25">
      <c r="A56" s="46" t="s">
        <v>110</v>
      </c>
      <c r="B56" s="13" t="s">
        <v>66</v>
      </c>
      <c r="C56" s="13" t="s">
        <v>68</v>
      </c>
      <c r="D56" s="13" t="s">
        <v>505</v>
      </c>
      <c r="E56" s="13" t="s">
        <v>111</v>
      </c>
      <c r="F56" s="14">
        <f t="shared" si="6"/>
        <v>55</v>
      </c>
      <c r="G56" s="14">
        <f t="shared" si="6"/>
        <v>50.7</v>
      </c>
      <c r="H56" s="14">
        <f t="shared" si="0"/>
        <v>4.299999999999997</v>
      </c>
      <c r="I56" s="77">
        <f t="shared" si="1"/>
        <v>92.18181818181819</v>
      </c>
      <c r="O56" s="194"/>
      <c r="P56" s="194"/>
    </row>
    <row r="57" spans="1:9" ht="12.75">
      <c r="A57" s="46" t="s">
        <v>101</v>
      </c>
      <c r="B57" s="13" t="s">
        <v>66</v>
      </c>
      <c r="C57" s="13" t="s">
        <v>68</v>
      </c>
      <c r="D57" s="13" t="s">
        <v>505</v>
      </c>
      <c r="E57" s="13" t="s">
        <v>102</v>
      </c>
      <c r="F57" s="14">
        <f>F58</f>
        <v>55</v>
      </c>
      <c r="G57" s="14">
        <f t="shared" si="6"/>
        <v>50.7</v>
      </c>
      <c r="H57" s="14">
        <f t="shared" si="0"/>
        <v>4.299999999999997</v>
      </c>
      <c r="I57" s="77">
        <f t="shared" si="1"/>
        <v>92.18181818181819</v>
      </c>
    </row>
    <row r="58" spans="1:9" ht="25.5">
      <c r="A58" s="46" t="s">
        <v>104</v>
      </c>
      <c r="B58" s="13" t="s">
        <v>66</v>
      </c>
      <c r="C58" s="13" t="s">
        <v>68</v>
      </c>
      <c r="D58" s="13" t="s">
        <v>505</v>
      </c>
      <c r="E58" s="13" t="s">
        <v>105</v>
      </c>
      <c r="F58" s="14">
        <f>'пр. 4 Вед'!G30</f>
        <v>55</v>
      </c>
      <c r="G58" s="14">
        <f>'пр. 4 Вед'!H30</f>
        <v>50.7</v>
      </c>
      <c r="H58" s="14">
        <f t="shared" si="0"/>
        <v>4.299999999999997</v>
      </c>
      <c r="I58" s="77">
        <f t="shared" si="1"/>
        <v>92.18181818181819</v>
      </c>
    </row>
    <row r="59" spans="1:9" ht="18" customHeight="1">
      <c r="A59" s="46" t="s">
        <v>557</v>
      </c>
      <c r="B59" s="13" t="s">
        <v>66</v>
      </c>
      <c r="C59" s="13" t="s">
        <v>68</v>
      </c>
      <c r="D59" s="13" t="s">
        <v>251</v>
      </c>
      <c r="E59" s="13"/>
      <c r="F59" s="14">
        <f>F60</f>
        <v>108173.80000000002</v>
      </c>
      <c r="G59" s="14">
        <f>G60</f>
        <v>106397.5</v>
      </c>
      <c r="H59" s="14">
        <f t="shared" si="0"/>
        <v>1776.3000000000175</v>
      </c>
      <c r="I59" s="77">
        <f t="shared" si="1"/>
        <v>98.35792030972378</v>
      </c>
    </row>
    <row r="60" spans="1:9" ht="12.75">
      <c r="A60" s="46" t="s">
        <v>50</v>
      </c>
      <c r="B60" s="13" t="s">
        <v>66</v>
      </c>
      <c r="C60" s="13" t="s">
        <v>68</v>
      </c>
      <c r="D60" s="13" t="s">
        <v>277</v>
      </c>
      <c r="E60" s="13"/>
      <c r="F60" s="14">
        <f>F61+F67</f>
        <v>108173.80000000002</v>
      </c>
      <c r="G60" s="14">
        <f>G61+G67</f>
        <v>106397.5</v>
      </c>
      <c r="H60" s="14">
        <f t="shared" si="0"/>
        <v>1776.3000000000175</v>
      </c>
      <c r="I60" s="77">
        <f t="shared" si="1"/>
        <v>98.35792030972378</v>
      </c>
    </row>
    <row r="61" spans="1:9" ht="12.75">
      <c r="A61" s="46" t="s">
        <v>273</v>
      </c>
      <c r="B61" s="13" t="s">
        <v>66</v>
      </c>
      <c r="C61" s="13" t="s">
        <v>68</v>
      </c>
      <c r="D61" s="13" t="s">
        <v>278</v>
      </c>
      <c r="E61" s="13"/>
      <c r="F61" s="14">
        <f>F62</f>
        <v>93999.70000000001</v>
      </c>
      <c r="G61" s="14">
        <f>G62</f>
        <v>93355.1</v>
      </c>
      <c r="H61" s="14">
        <f t="shared" si="0"/>
        <v>644.6000000000058</v>
      </c>
      <c r="I61" s="77">
        <f t="shared" si="1"/>
        <v>99.31425313059509</v>
      </c>
    </row>
    <row r="62" spans="1:9" ht="38.25">
      <c r="A62" s="46" t="s">
        <v>110</v>
      </c>
      <c r="B62" s="13" t="s">
        <v>66</v>
      </c>
      <c r="C62" s="13" t="s">
        <v>68</v>
      </c>
      <c r="D62" s="13" t="s">
        <v>278</v>
      </c>
      <c r="E62" s="13" t="s">
        <v>111</v>
      </c>
      <c r="F62" s="14">
        <f>F63</f>
        <v>93999.70000000001</v>
      </c>
      <c r="G62" s="14">
        <f>G63</f>
        <v>93355.1</v>
      </c>
      <c r="H62" s="14">
        <f t="shared" si="0"/>
        <v>644.6000000000058</v>
      </c>
      <c r="I62" s="77">
        <f t="shared" si="1"/>
        <v>99.31425313059509</v>
      </c>
    </row>
    <row r="63" spans="1:9" ht="12.75">
      <c r="A63" s="46" t="s">
        <v>101</v>
      </c>
      <c r="B63" s="13" t="s">
        <v>66</v>
      </c>
      <c r="C63" s="13" t="s">
        <v>68</v>
      </c>
      <c r="D63" s="13" t="s">
        <v>278</v>
      </c>
      <c r="E63" s="13" t="s">
        <v>102</v>
      </c>
      <c r="F63" s="14">
        <f>F64+F65+F66</f>
        <v>93999.70000000001</v>
      </c>
      <c r="G63" s="14">
        <f>G64+G65+G66</f>
        <v>93355.1</v>
      </c>
      <c r="H63" s="14">
        <f t="shared" si="0"/>
        <v>644.6000000000058</v>
      </c>
      <c r="I63" s="77">
        <f t="shared" si="1"/>
        <v>99.31425313059509</v>
      </c>
    </row>
    <row r="64" spans="1:9" ht="12.75">
      <c r="A64" s="46" t="s">
        <v>176</v>
      </c>
      <c r="B64" s="13" t="s">
        <v>66</v>
      </c>
      <c r="C64" s="13" t="s">
        <v>68</v>
      </c>
      <c r="D64" s="13" t="s">
        <v>278</v>
      </c>
      <c r="E64" s="13" t="s">
        <v>103</v>
      </c>
      <c r="F64" s="14">
        <f>'пр. 4 Вед'!G36</f>
        <v>70636.1</v>
      </c>
      <c r="G64" s="14">
        <f>'пр. 4 Вед'!H36</f>
        <v>70315.3</v>
      </c>
      <c r="H64" s="14">
        <f t="shared" si="0"/>
        <v>320.8000000000029</v>
      </c>
      <c r="I64" s="77">
        <f t="shared" si="1"/>
        <v>99.54584129078474</v>
      </c>
    </row>
    <row r="65" spans="1:9" ht="25.5">
      <c r="A65" s="46" t="s">
        <v>104</v>
      </c>
      <c r="B65" s="13" t="s">
        <v>66</v>
      </c>
      <c r="C65" s="13" t="s">
        <v>68</v>
      </c>
      <c r="D65" s="13" t="s">
        <v>278</v>
      </c>
      <c r="E65" s="13" t="s">
        <v>105</v>
      </c>
      <c r="F65" s="14">
        <f>'пр. 4 Вед'!G37</f>
        <v>526.5</v>
      </c>
      <c r="G65" s="14">
        <f>'пр. 4 Вед'!H37</f>
        <v>455.2</v>
      </c>
      <c r="H65" s="14">
        <f t="shared" si="0"/>
        <v>71.30000000000001</v>
      </c>
      <c r="I65" s="77">
        <f t="shared" si="1"/>
        <v>86.45773979107312</v>
      </c>
    </row>
    <row r="66" spans="1:9" ht="25.5">
      <c r="A66" s="46" t="s">
        <v>178</v>
      </c>
      <c r="B66" s="13" t="s">
        <v>66</v>
      </c>
      <c r="C66" s="13" t="s">
        <v>68</v>
      </c>
      <c r="D66" s="13" t="s">
        <v>278</v>
      </c>
      <c r="E66" s="13" t="s">
        <v>177</v>
      </c>
      <c r="F66" s="14">
        <f>'пр. 4 Вед'!G38</f>
        <v>22837.1</v>
      </c>
      <c r="G66" s="14">
        <f>'пр. 4 Вед'!H38</f>
        <v>22584.6</v>
      </c>
      <c r="H66" s="14">
        <f t="shared" si="0"/>
        <v>252.5</v>
      </c>
      <c r="I66" s="77">
        <f t="shared" si="1"/>
        <v>98.89434297699795</v>
      </c>
    </row>
    <row r="67" spans="1:9" ht="12.75">
      <c r="A67" s="46" t="s">
        <v>274</v>
      </c>
      <c r="B67" s="13" t="s">
        <v>66</v>
      </c>
      <c r="C67" s="13" t="s">
        <v>68</v>
      </c>
      <c r="D67" s="13" t="s">
        <v>279</v>
      </c>
      <c r="E67" s="13"/>
      <c r="F67" s="14">
        <f>F68+F71</f>
        <v>14174.1</v>
      </c>
      <c r="G67" s="14">
        <f>G68+G71</f>
        <v>13042.4</v>
      </c>
      <c r="H67" s="14">
        <f t="shared" si="0"/>
        <v>1131.7000000000007</v>
      </c>
      <c r="I67" s="77">
        <f t="shared" si="1"/>
        <v>92.01571881107088</v>
      </c>
    </row>
    <row r="68" spans="1:9" ht="12.75">
      <c r="A68" s="46" t="s">
        <v>770</v>
      </c>
      <c r="B68" s="13" t="s">
        <v>66</v>
      </c>
      <c r="C68" s="13" t="s">
        <v>68</v>
      </c>
      <c r="D68" s="13" t="s">
        <v>279</v>
      </c>
      <c r="E68" s="13" t="s">
        <v>113</v>
      </c>
      <c r="F68" s="14">
        <f>F69</f>
        <v>12179.5</v>
      </c>
      <c r="G68" s="14">
        <f>G69</f>
        <v>11135.3</v>
      </c>
      <c r="H68" s="14">
        <f t="shared" si="0"/>
        <v>1044.2000000000007</v>
      </c>
      <c r="I68" s="77">
        <f t="shared" si="1"/>
        <v>91.42657744570795</v>
      </c>
    </row>
    <row r="69" spans="1:9" ht="25.5">
      <c r="A69" s="46" t="s">
        <v>106</v>
      </c>
      <c r="B69" s="13" t="s">
        <v>66</v>
      </c>
      <c r="C69" s="13" t="s">
        <v>68</v>
      </c>
      <c r="D69" s="13" t="s">
        <v>279</v>
      </c>
      <c r="E69" s="13" t="s">
        <v>107</v>
      </c>
      <c r="F69" s="14">
        <f>F70</f>
        <v>12179.5</v>
      </c>
      <c r="G69" s="14">
        <f>G70</f>
        <v>11135.3</v>
      </c>
      <c r="H69" s="14">
        <f t="shared" si="0"/>
        <v>1044.2000000000007</v>
      </c>
      <c r="I69" s="77">
        <f t="shared" si="1"/>
        <v>91.42657744570795</v>
      </c>
    </row>
    <row r="70" spans="1:9" ht="25.5">
      <c r="A70" s="46" t="s">
        <v>108</v>
      </c>
      <c r="B70" s="13" t="s">
        <v>66</v>
      </c>
      <c r="C70" s="13" t="s">
        <v>68</v>
      </c>
      <c r="D70" s="13" t="s">
        <v>279</v>
      </c>
      <c r="E70" s="13" t="s">
        <v>109</v>
      </c>
      <c r="F70" s="14">
        <f>'пр. 4 Вед'!G42</f>
        <v>12179.5</v>
      </c>
      <c r="G70" s="14">
        <f>'пр. 4 Вед'!H42</f>
        <v>11135.3</v>
      </c>
      <c r="H70" s="14">
        <f t="shared" si="0"/>
        <v>1044.2000000000007</v>
      </c>
      <c r="I70" s="77">
        <f t="shared" si="1"/>
        <v>91.42657744570795</v>
      </c>
    </row>
    <row r="71" spans="1:9" ht="12.75">
      <c r="A71" s="46" t="s">
        <v>137</v>
      </c>
      <c r="B71" s="13" t="s">
        <v>66</v>
      </c>
      <c r="C71" s="13" t="s">
        <v>68</v>
      </c>
      <c r="D71" s="13" t="s">
        <v>279</v>
      </c>
      <c r="E71" s="13" t="s">
        <v>138</v>
      </c>
      <c r="F71" s="14">
        <f>F72</f>
        <v>1994.6000000000004</v>
      </c>
      <c r="G71" s="14">
        <f>G72</f>
        <v>1907.1</v>
      </c>
      <c r="H71" s="14">
        <f t="shared" si="0"/>
        <v>87.50000000000045</v>
      </c>
      <c r="I71" s="77">
        <f t="shared" si="1"/>
        <v>95.61315551990371</v>
      </c>
    </row>
    <row r="72" spans="1:9" ht="12.75">
      <c r="A72" s="46" t="s">
        <v>140</v>
      </c>
      <c r="B72" s="13" t="s">
        <v>66</v>
      </c>
      <c r="C72" s="13" t="s">
        <v>68</v>
      </c>
      <c r="D72" s="13" t="s">
        <v>279</v>
      </c>
      <c r="E72" s="13" t="s">
        <v>141</v>
      </c>
      <c r="F72" s="14">
        <f>F73+F74+F75</f>
        <v>1994.6000000000004</v>
      </c>
      <c r="G72" s="14">
        <f>G73+G74+G75</f>
        <v>1907.1</v>
      </c>
      <c r="H72" s="14">
        <f t="shared" si="0"/>
        <v>87.50000000000045</v>
      </c>
      <c r="I72" s="77">
        <f t="shared" si="1"/>
        <v>95.61315551990371</v>
      </c>
    </row>
    <row r="73" spans="1:9" ht="12.75">
      <c r="A73" s="46" t="s">
        <v>142</v>
      </c>
      <c r="B73" s="13" t="s">
        <v>66</v>
      </c>
      <c r="C73" s="13" t="s">
        <v>68</v>
      </c>
      <c r="D73" s="13" t="s">
        <v>279</v>
      </c>
      <c r="E73" s="13" t="s">
        <v>143</v>
      </c>
      <c r="F73" s="14">
        <f>'пр. 4 Вед'!G45</f>
        <v>216.4</v>
      </c>
      <c r="G73" s="14">
        <f>'пр. 4 Вед'!H45</f>
        <v>135.7</v>
      </c>
      <c r="H73" s="14">
        <f aca="true" t="shared" si="7" ref="H73:H136">F73-G73</f>
        <v>80.70000000000002</v>
      </c>
      <c r="I73" s="77">
        <f aca="true" t="shared" si="8" ref="I73:I136">G73/F73*100</f>
        <v>62.7079482439926</v>
      </c>
    </row>
    <row r="74" spans="1:9" ht="12.75">
      <c r="A74" s="46" t="s">
        <v>179</v>
      </c>
      <c r="B74" s="13" t="s">
        <v>66</v>
      </c>
      <c r="C74" s="13" t="s">
        <v>68</v>
      </c>
      <c r="D74" s="13" t="s">
        <v>279</v>
      </c>
      <c r="E74" s="13" t="s">
        <v>144</v>
      </c>
      <c r="F74" s="14">
        <f>'пр. 4 Вед'!G46</f>
        <v>74.5</v>
      </c>
      <c r="G74" s="14">
        <f>'пр. 4 Вед'!H46</f>
        <v>73.4</v>
      </c>
      <c r="H74" s="14">
        <f t="shared" si="7"/>
        <v>1.0999999999999943</v>
      </c>
      <c r="I74" s="77">
        <f t="shared" si="8"/>
        <v>98.52348993288591</v>
      </c>
    </row>
    <row r="75" spans="1:9" ht="12.75">
      <c r="A75" s="46" t="s">
        <v>180</v>
      </c>
      <c r="B75" s="13" t="s">
        <v>66</v>
      </c>
      <c r="C75" s="13" t="s">
        <v>68</v>
      </c>
      <c r="D75" s="13" t="s">
        <v>279</v>
      </c>
      <c r="E75" s="13" t="s">
        <v>181</v>
      </c>
      <c r="F75" s="14">
        <f>'пр. 4 Вед'!G47</f>
        <v>1703.7000000000003</v>
      </c>
      <c r="G75" s="14">
        <f>'пр. 4 Вед'!H47</f>
        <v>1698</v>
      </c>
      <c r="H75" s="14">
        <f t="shared" si="7"/>
        <v>5.700000000000273</v>
      </c>
      <c r="I75" s="77">
        <f t="shared" si="8"/>
        <v>99.66543405529141</v>
      </c>
    </row>
    <row r="76" spans="1:9" ht="25.5">
      <c r="A76" s="60" t="s">
        <v>79</v>
      </c>
      <c r="B76" s="29" t="s">
        <v>66</v>
      </c>
      <c r="C76" s="29" t="s">
        <v>76</v>
      </c>
      <c r="D76" s="29"/>
      <c r="E76" s="29"/>
      <c r="F76" s="30">
        <f>F77+F83+F99</f>
        <v>19058.1</v>
      </c>
      <c r="G76" s="30">
        <f>G77+G83+G99</f>
        <v>18317.6</v>
      </c>
      <c r="H76" s="30">
        <f t="shared" si="7"/>
        <v>740.5</v>
      </c>
      <c r="I76" s="82">
        <f t="shared" si="8"/>
        <v>96.11451298922768</v>
      </c>
    </row>
    <row r="77" spans="1:9" ht="12.75">
      <c r="A77" s="46" t="s">
        <v>503</v>
      </c>
      <c r="B77" s="13" t="s">
        <v>66</v>
      </c>
      <c r="C77" s="13" t="s">
        <v>76</v>
      </c>
      <c r="D77" s="13" t="s">
        <v>252</v>
      </c>
      <c r="E77" s="13"/>
      <c r="F77" s="14">
        <f aca="true" t="shared" si="9" ref="F77:G81">F78</f>
        <v>567</v>
      </c>
      <c r="G77" s="14">
        <f t="shared" si="9"/>
        <v>557.3</v>
      </c>
      <c r="H77" s="14">
        <f t="shared" si="7"/>
        <v>9.700000000000045</v>
      </c>
      <c r="I77" s="77">
        <f t="shared" si="8"/>
        <v>98.28924162257495</v>
      </c>
    </row>
    <row r="78" spans="1:9" ht="12.75">
      <c r="A78" s="46" t="s">
        <v>504</v>
      </c>
      <c r="B78" s="13" t="s">
        <v>66</v>
      </c>
      <c r="C78" s="13" t="s">
        <v>76</v>
      </c>
      <c r="D78" s="13" t="s">
        <v>501</v>
      </c>
      <c r="E78" s="13"/>
      <c r="F78" s="14">
        <f t="shared" si="9"/>
        <v>567</v>
      </c>
      <c r="G78" s="14">
        <f t="shared" si="9"/>
        <v>557.3</v>
      </c>
      <c r="H78" s="14">
        <f t="shared" si="7"/>
        <v>9.700000000000045</v>
      </c>
      <c r="I78" s="77">
        <f t="shared" si="8"/>
        <v>98.28924162257495</v>
      </c>
    </row>
    <row r="79" spans="1:9" ht="38.25">
      <c r="A79" s="46" t="s">
        <v>271</v>
      </c>
      <c r="B79" s="13" t="s">
        <v>66</v>
      </c>
      <c r="C79" s="13" t="s">
        <v>76</v>
      </c>
      <c r="D79" s="13" t="s">
        <v>502</v>
      </c>
      <c r="E79" s="13"/>
      <c r="F79" s="14">
        <f t="shared" si="9"/>
        <v>567</v>
      </c>
      <c r="G79" s="14">
        <f t="shared" si="9"/>
        <v>557.3</v>
      </c>
      <c r="H79" s="14">
        <f t="shared" si="7"/>
        <v>9.700000000000045</v>
      </c>
      <c r="I79" s="77">
        <f t="shared" si="8"/>
        <v>98.28924162257495</v>
      </c>
    </row>
    <row r="80" spans="1:9" ht="38.25">
      <c r="A80" s="46" t="s">
        <v>110</v>
      </c>
      <c r="B80" s="13" t="s">
        <v>66</v>
      </c>
      <c r="C80" s="13" t="s">
        <v>76</v>
      </c>
      <c r="D80" s="13" t="s">
        <v>502</v>
      </c>
      <c r="E80" s="13" t="s">
        <v>111</v>
      </c>
      <c r="F80" s="14">
        <f t="shared" si="9"/>
        <v>567</v>
      </c>
      <c r="G80" s="14">
        <f t="shared" si="9"/>
        <v>557.3</v>
      </c>
      <c r="H80" s="14">
        <f t="shared" si="7"/>
        <v>9.700000000000045</v>
      </c>
      <c r="I80" s="77">
        <f t="shared" si="8"/>
        <v>98.28924162257495</v>
      </c>
    </row>
    <row r="81" spans="1:9" ht="12.75">
      <c r="A81" s="46" t="s">
        <v>101</v>
      </c>
      <c r="B81" s="13" t="s">
        <v>66</v>
      </c>
      <c r="C81" s="13" t="s">
        <v>76</v>
      </c>
      <c r="D81" s="13" t="s">
        <v>502</v>
      </c>
      <c r="E81" s="13" t="s">
        <v>102</v>
      </c>
      <c r="F81" s="14">
        <f>F82</f>
        <v>567</v>
      </c>
      <c r="G81" s="14">
        <f t="shared" si="9"/>
        <v>557.3</v>
      </c>
      <c r="H81" s="14">
        <f t="shared" si="7"/>
        <v>9.700000000000045</v>
      </c>
      <c r="I81" s="77">
        <f t="shared" si="8"/>
        <v>98.28924162257495</v>
      </c>
    </row>
    <row r="82" spans="1:9" ht="25.5">
      <c r="A82" s="46" t="s">
        <v>104</v>
      </c>
      <c r="B82" s="13" t="s">
        <v>66</v>
      </c>
      <c r="C82" s="13" t="s">
        <v>76</v>
      </c>
      <c r="D82" s="13" t="s">
        <v>502</v>
      </c>
      <c r="E82" s="13" t="s">
        <v>105</v>
      </c>
      <c r="F82" s="14">
        <f>'пр. 4 Вед'!G324</f>
        <v>567</v>
      </c>
      <c r="G82" s="14">
        <f>'пр. 4 Вед'!H324</f>
        <v>557.3</v>
      </c>
      <c r="H82" s="14">
        <f t="shared" si="7"/>
        <v>9.700000000000045</v>
      </c>
      <c r="I82" s="77">
        <f t="shared" si="8"/>
        <v>98.28924162257495</v>
      </c>
    </row>
    <row r="83" spans="1:9" ht="23.25" customHeight="1">
      <c r="A83" s="46" t="s">
        <v>557</v>
      </c>
      <c r="B83" s="13" t="s">
        <v>66</v>
      </c>
      <c r="C83" s="13" t="s">
        <v>76</v>
      </c>
      <c r="D83" s="13" t="s">
        <v>251</v>
      </c>
      <c r="E83" s="13"/>
      <c r="F83" s="14">
        <f>F84</f>
        <v>15416.9</v>
      </c>
      <c r="G83" s="14">
        <f>G84</f>
        <v>15189.5</v>
      </c>
      <c r="H83" s="14">
        <f t="shared" si="7"/>
        <v>227.39999999999964</v>
      </c>
      <c r="I83" s="77">
        <f t="shared" si="8"/>
        <v>98.52499529736848</v>
      </c>
    </row>
    <row r="84" spans="1:9" ht="12.75">
      <c r="A84" s="46" t="s">
        <v>50</v>
      </c>
      <c r="B84" s="13" t="s">
        <v>66</v>
      </c>
      <c r="C84" s="13" t="s">
        <v>76</v>
      </c>
      <c r="D84" s="13" t="s">
        <v>277</v>
      </c>
      <c r="E84" s="13"/>
      <c r="F84" s="14">
        <f>F85+F91</f>
        <v>15416.9</v>
      </c>
      <c r="G84" s="14">
        <f>G85+G91</f>
        <v>15189.5</v>
      </c>
      <c r="H84" s="14">
        <f t="shared" si="7"/>
        <v>227.39999999999964</v>
      </c>
      <c r="I84" s="77">
        <f t="shared" si="8"/>
        <v>98.52499529736848</v>
      </c>
    </row>
    <row r="85" spans="1:9" ht="12.75">
      <c r="A85" s="46" t="s">
        <v>273</v>
      </c>
      <c r="B85" s="13" t="s">
        <v>66</v>
      </c>
      <c r="C85" s="13" t="s">
        <v>76</v>
      </c>
      <c r="D85" s="13" t="s">
        <v>278</v>
      </c>
      <c r="E85" s="13"/>
      <c r="F85" s="14">
        <f>F86</f>
        <v>14215.5</v>
      </c>
      <c r="G85" s="14">
        <f>G86</f>
        <v>14072</v>
      </c>
      <c r="H85" s="14">
        <f t="shared" si="7"/>
        <v>143.5</v>
      </c>
      <c r="I85" s="77">
        <f t="shared" si="8"/>
        <v>98.99053849671134</v>
      </c>
    </row>
    <row r="86" spans="1:9" ht="38.25">
      <c r="A86" s="46" t="s">
        <v>110</v>
      </c>
      <c r="B86" s="13" t="s">
        <v>66</v>
      </c>
      <c r="C86" s="13" t="s">
        <v>76</v>
      </c>
      <c r="D86" s="13" t="s">
        <v>278</v>
      </c>
      <c r="E86" s="13" t="s">
        <v>111</v>
      </c>
      <c r="F86" s="14">
        <f>F87</f>
        <v>14215.5</v>
      </c>
      <c r="G86" s="14">
        <f>G87</f>
        <v>14072</v>
      </c>
      <c r="H86" s="14">
        <f t="shared" si="7"/>
        <v>143.5</v>
      </c>
      <c r="I86" s="77">
        <f t="shared" si="8"/>
        <v>98.99053849671134</v>
      </c>
    </row>
    <row r="87" spans="1:9" ht="12.75">
      <c r="A87" s="46" t="s">
        <v>101</v>
      </c>
      <c r="B87" s="13" t="s">
        <v>66</v>
      </c>
      <c r="C87" s="13" t="s">
        <v>76</v>
      </c>
      <c r="D87" s="13" t="s">
        <v>278</v>
      </c>
      <c r="E87" s="13" t="s">
        <v>102</v>
      </c>
      <c r="F87" s="14">
        <f>F88+F89+F90</f>
        <v>14215.5</v>
      </c>
      <c r="G87" s="14">
        <f>G88+G89+G90</f>
        <v>14072</v>
      </c>
      <c r="H87" s="14">
        <f t="shared" si="7"/>
        <v>143.5</v>
      </c>
      <c r="I87" s="77">
        <f t="shared" si="8"/>
        <v>98.99053849671134</v>
      </c>
    </row>
    <row r="88" spans="1:9" ht="12.75">
      <c r="A88" s="46" t="s">
        <v>176</v>
      </c>
      <c r="B88" s="13" t="s">
        <v>66</v>
      </c>
      <c r="C88" s="13" t="s">
        <v>76</v>
      </c>
      <c r="D88" s="13" t="s">
        <v>278</v>
      </c>
      <c r="E88" s="13" t="s">
        <v>103</v>
      </c>
      <c r="F88" s="14">
        <f>'пр. 4 Вед'!G330</f>
        <v>11117.8</v>
      </c>
      <c r="G88" s="14">
        <f>'пр. 4 Вед'!H330</f>
        <v>11071.8</v>
      </c>
      <c r="H88" s="14">
        <f t="shared" si="7"/>
        <v>46</v>
      </c>
      <c r="I88" s="77">
        <f t="shared" si="8"/>
        <v>99.586249078055</v>
      </c>
    </row>
    <row r="89" spans="1:9" ht="25.5">
      <c r="A89" s="46" t="s">
        <v>104</v>
      </c>
      <c r="B89" s="13" t="s">
        <v>66</v>
      </c>
      <c r="C89" s="13" t="s">
        <v>76</v>
      </c>
      <c r="D89" s="13" t="s">
        <v>278</v>
      </c>
      <c r="E89" s="13" t="s">
        <v>105</v>
      </c>
      <c r="F89" s="14">
        <f>'пр. 4 Вед'!G331+'пр. 4 Вед'!G390</f>
        <v>79</v>
      </c>
      <c r="G89" s="14">
        <f>'пр. 4 Вед'!H331+'пр. 4 Вед'!H390</f>
        <v>54.7</v>
      </c>
      <c r="H89" s="14">
        <f t="shared" si="7"/>
        <v>24.299999999999997</v>
      </c>
      <c r="I89" s="77">
        <f t="shared" si="8"/>
        <v>69.24050632911393</v>
      </c>
    </row>
    <row r="90" spans="1:9" ht="25.5">
      <c r="A90" s="46" t="s">
        <v>178</v>
      </c>
      <c r="B90" s="13" t="s">
        <v>66</v>
      </c>
      <c r="C90" s="13" t="s">
        <v>76</v>
      </c>
      <c r="D90" s="13" t="s">
        <v>278</v>
      </c>
      <c r="E90" s="13" t="s">
        <v>177</v>
      </c>
      <c r="F90" s="14">
        <f>'пр. 4 Вед'!G332</f>
        <v>3018.7</v>
      </c>
      <c r="G90" s="14">
        <f>'пр. 4 Вед'!H332</f>
        <v>2945.5</v>
      </c>
      <c r="H90" s="14">
        <f t="shared" si="7"/>
        <v>73.19999999999982</v>
      </c>
      <c r="I90" s="77">
        <f t="shared" si="8"/>
        <v>97.57511511577832</v>
      </c>
    </row>
    <row r="91" spans="1:9" ht="12.75">
      <c r="A91" s="46" t="s">
        <v>274</v>
      </c>
      <c r="B91" s="13" t="s">
        <v>66</v>
      </c>
      <c r="C91" s="13" t="s">
        <v>76</v>
      </c>
      <c r="D91" s="13" t="s">
        <v>279</v>
      </c>
      <c r="E91" s="13"/>
      <c r="F91" s="14">
        <f>F92+F95</f>
        <v>1201.4</v>
      </c>
      <c r="G91" s="14">
        <f>G92+G95</f>
        <v>1117.4999999999998</v>
      </c>
      <c r="H91" s="14">
        <f t="shared" si="7"/>
        <v>83.90000000000032</v>
      </c>
      <c r="I91" s="77">
        <f t="shared" si="8"/>
        <v>93.01648077243215</v>
      </c>
    </row>
    <row r="92" spans="1:9" ht="12.75">
      <c r="A92" s="46" t="s">
        <v>770</v>
      </c>
      <c r="B92" s="13" t="s">
        <v>66</v>
      </c>
      <c r="C92" s="13" t="s">
        <v>76</v>
      </c>
      <c r="D92" s="13" t="s">
        <v>279</v>
      </c>
      <c r="E92" s="13" t="s">
        <v>113</v>
      </c>
      <c r="F92" s="14">
        <f>F93</f>
        <v>1198</v>
      </c>
      <c r="G92" s="14">
        <f>G93</f>
        <v>1114.6999999999998</v>
      </c>
      <c r="H92" s="14">
        <f t="shared" si="7"/>
        <v>83.30000000000018</v>
      </c>
      <c r="I92" s="77">
        <f t="shared" si="8"/>
        <v>93.04674457429047</v>
      </c>
    </row>
    <row r="93" spans="1:9" ht="25.5">
      <c r="A93" s="46" t="s">
        <v>106</v>
      </c>
      <c r="B93" s="13" t="s">
        <v>66</v>
      </c>
      <c r="C93" s="13" t="s">
        <v>76</v>
      </c>
      <c r="D93" s="13" t="s">
        <v>279</v>
      </c>
      <c r="E93" s="13" t="s">
        <v>107</v>
      </c>
      <c r="F93" s="14">
        <f>F94</f>
        <v>1198</v>
      </c>
      <c r="G93" s="14">
        <f>G94</f>
        <v>1114.6999999999998</v>
      </c>
      <c r="H93" s="14">
        <f t="shared" si="7"/>
        <v>83.30000000000018</v>
      </c>
      <c r="I93" s="77">
        <f t="shared" si="8"/>
        <v>93.04674457429047</v>
      </c>
    </row>
    <row r="94" spans="1:9" ht="25.5">
      <c r="A94" s="46" t="s">
        <v>108</v>
      </c>
      <c r="B94" s="13" t="s">
        <v>66</v>
      </c>
      <c r="C94" s="13" t="s">
        <v>76</v>
      </c>
      <c r="D94" s="13" t="s">
        <v>279</v>
      </c>
      <c r="E94" s="13" t="s">
        <v>109</v>
      </c>
      <c r="F94" s="14">
        <f>'пр. 4 Вед'!G336+'пр. 4 Вед'!G394</f>
        <v>1198</v>
      </c>
      <c r="G94" s="14">
        <f>'пр. 4 Вед'!H336+'пр. 4 Вед'!H394</f>
        <v>1114.6999999999998</v>
      </c>
      <c r="H94" s="14">
        <f t="shared" si="7"/>
        <v>83.30000000000018</v>
      </c>
      <c r="I94" s="77">
        <f t="shared" si="8"/>
        <v>93.04674457429047</v>
      </c>
    </row>
    <row r="95" spans="1:9" ht="12.75">
      <c r="A95" s="46" t="s">
        <v>137</v>
      </c>
      <c r="B95" s="13" t="s">
        <v>66</v>
      </c>
      <c r="C95" s="13" t="s">
        <v>76</v>
      </c>
      <c r="D95" s="13" t="s">
        <v>279</v>
      </c>
      <c r="E95" s="13" t="s">
        <v>138</v>
      </c>
      <c r="F95" s="14">
        <f>F96</f>
        <v>3.4</v>
      </c>
      <c r="G95" s="14">
        <f>G96</f>
        <v>2.8</v>
      </c>
      <c r="H95" s="14">
        <f t="shared" si="7"/>
        <v>0.6000000000000001</v>
      </c>
      <c r="I95" s="77">
        <f t="shared" si="8"/>
        <v>82.35294117647058</v>
      </c>
    </row>
    <row r="96" spans="1:9" ht="12.75">
      <c r="A96" s="46" t="s">
        <v>140</v>
      </c>
      <c r="B96" s="13" t="s">
        <v>66</v>
      </c>
      <c r="C96" s="13" t="s">
        <v>76</v>
      </c>
      <c r="D96" s="13" t="s">
        <v>279</v>
      </c>
      <c r="E96" s="13" t="s">
        <v>141</v>
      </c>
      <c r="F96" s="14">
        <f>F97+F98</f>
        <v>3.4</v>
      </c>
      <c r="G96" s="14">
        <f>G97+G98</f>
        <v>2.8</v>
      </c>
      <c r="H96" s="14">
        <f t="shared" si="7"/>
        <v>0.6000000000000001</v>
      </c>
      <c r="I96" s="77">
        <f t="shared" si="8"/>
        <v>82.35294117647058</v>
      </c>
    </row>
    <row r="97" spans="1:9" ht="12.75">
      <c r="A97" s="46" t="s">
        <v>142</v>
      </c>
      <c r="B97" s="13" t="s">
        <v>66</v>
      </c>
      <c r="C97" s="13" t="s">
        <v>76</v>
      </c>
      <c r="D97" s="13" t="s">
        <v>279</v>
      </c>
      <c r="E97" s="13" t="s">
        <v>143</v>
      </c>
      <c r="F97" s="14">
        <f>'пр. 4 Вед'!G339</f>
        <v>1</v>
      </c>
      <c r="G97" s="14">
        <f>'пр. 4 Вед'!H339</f>
        <v>0.5</v>
      </c>
      <c r="H97" s="14">
        <f t="shared" si="7"/>
        <v>0.5</v>
      </c>
      <c r="I97" s="77">
        <f t="shared" si="8"/>
        <v>50</v>
      </c>
    </row>
    <row r="98" spans="1:9" ht="12.75">
      <c r="A98" s="46" t="s">
        <v>179</v>
      </c>
      <c r="B98" s="13" t="s">
        <v>66</v>
      </c>
      <c r="C98" s="13" t="s">
        <v>76</v>
      </c>
      <c r="D98" s="13" t="s">
        <v>279</v>
      </c>
      <c r="E98" s="13" t="s">
        <v>144</v>
      </c>
      <c r="F98" s="14">
        <f>'пр. 4 Вед'!G340</f>
        <v>2.4</v>
      </c>
      <c r="G98" s="14">
        <f>'пр. 4 Вед'!H340</f>
        <v>2.3</v>
      </c>
      <c r="H98" s="14">
        <f t="shared" si="7"/>
        <v>0.10000000000000009</v>
      </c>
      <c r="I98" s="77">
        <f t="shared" si="8"/>
        <v>95.83333333333333</v>
      </c>
    </row>
    <row r="99" spans="1:9" ht="12.75">
      <c r="A99" s="46" t="s">
        <v>21</v>
      </c>
      <c r="B99" s="13" t="s">
        <v>66</v>
      </c>
      <c r="C99" s="13" t="s">
        <v>76</v>
      </c>
      <c r="D99" s="13" t="s">
        <v>284</v>
      </c>
      <c r="E99" s="13"/>
      <c r="F99" s="14">
        <f aca="true" t="shared" si="10" ref="F99:G101">F100</f>
        <v>3074.2000000000003</v>
      </c>
      <c r="G99" s="14">
        <f t="shared" si="10"/>
        <v>2570.8</v>
      </c>
      <c r="H99" s="14">
        <f t="shared" si="7"/>
        <v>503.4000000000001</v>
      </c>
      <c r="I99" s="77">
        <f t="shared" si="8"/>
        <v>83.62500813219698</v>
      </c>
    </row>
    <row r="100" spans="1:9" ht="12.75">
      <c r="A100" s="46" t="s">
        <v>273</v>
      </c>
      <c r="B100" s="13" t="s">
        <v>66</v>
      </c>
      <c r="C100" s="13" t="s">
        <v>76</v>
      </c>
      <c r="D100" s="13" t="s">
        <v>285</v>
      </c>
      <c r="E100" s="13"/>
      <c r="F100" s="14">
        <f t="shared" si="10"/>
        <v>3074.2000000000003</v>
      </c>
      <c r="G100" s="14">
        <f t="shared" si="10"/>
        <v>2570.8</v>
      </c>
      <c r="H100" s="14">
        <f t="shared" si="7"/>
        <v>503.4000000000001</v>
      </c>
      <c r="I100" s="77">
        <f t="shared" si="8"/>
        <v>83.62500813219698</v>
      </c>
    </row>
    <row r="101" spans="1:9" ht="38.25">
      <c r="A101" s="46" t="s">
        <v>110</v>
      </c>
      <c r="B101" s="13" t="s">
        <v>66</v>
      </c>
      <c r="C101" s="13" t="s">
        <v>76</v>
      </c>
      <c r="D101" s="13" t="s">
        <v>285</v>
      </c>
      <c r="E101" s="13" t="s">
        <v>111</v>
      </c>
      <c r="F101" s="14">
        <f t="shared" si="10"/>
        <v>3074.2000000000003</v>
      </c>
      <c r="G101" s="14">
        <f t="shared" si="10"/>
        <v>2570.8</v>
      </c>
      <c r="H101" s="14">
        <f t="shared" si="7"/>
        <v>503.4000000000001</v>
      </c>
      <c r="I101" s="77">
        <f t="shared" si="8"/>
        <v>83.62500813219698</v>
      </c>
    </row>
    <row r="102" spans="1:9" ht="12.75">
      <c r="A102" s="46" t="s">
        <v>101</v>
      </c>
      <c r="B102" s="13" t="s">
        <v>66</v>
      </c>
      <c r="C102" s="13" t="s">
        <v>76</v>
      </c>
      <c r="D102" s="13" t="s">
        <v>285</v>
      </c>
      <c r="E102" s="13" t="s">
        <v>102</v>
      </c>
      <c r="F102" s="14">
        <f>F103+F104</f>
        <v>3074.2000000000003</v>
      </c>
      <c r="G102" s="14">
        <f>G103+G104</f>
        <v>2570.8</v>
      </c>
      <c r="H102" s="14">
        <f t="shared" si="7"/>
        <v>503.4000000000001</v>
      </c>
      <c r="I102" s="77">
        <f t="shared" si="8"/>
        <v>83.62500813219698</v>
      </c>
    </row>
    <row r="103" spans="1:9" ht="12.75">
      <c r="A103" s="46" t="s">
        <v>176</v>
      </c>
      <c r="B103" s="13" t="s">
        <v>66</v>
      </c>
      <c r="C103" s="13" t="s">
        <v>76</v>
      </c>
      <c r="D103" s="13" t="s">
        <v>285</v>
      </c>
      <c r="E103" s="13" t="s">
        <v>103</v>
      </c>
      <c r="F103" s="14">
        <f>'пр. 4 Вед'!G399</f>
        <v>2364.8</v>
      </c>
      <c r="G103" s="14">
        <f>'пр. 4 Вед'!H399</f>
        <v>1957.4</v>
      </c>
      <c r="H103" s="14">
        <f t="shared" si="7"/>
        <v>407.4000000000001</v>
      </c>
      <c r="I103" s="77">
        <f t="shared" si="8"/>
        <v>82.77232746955346</v>
      </c>
    </row>
    <row r="104" spans="1:9" ht="25.5">
      <c r="A104" s="46" t="s">
        <v>178</v>
      </c>
      <c r="B104" s="13" t="s">
        <v>66</v>
      </c>
      <c r="C104" s="13" t="s">
        <v>76</v>
      </c>
      <c r="D104" s="13" t="s">
        <v>285</v>
      </c>
      <c r="E104" s="13" t="s">
        <v>177</v>
      </c>
      <c r="F104" s="14">
        <f>'пр. 4 Вед'!G400</f>
        <v>709.4</v>
      </c>
      <c r="G104" s="14">
        <f>'пр. 4 Вед'!H400</f>
        <v>613.4</v>
      </c>
      <c r="H104" s="14">
        <f t="shared" si="7"/>
        <v>96</v>
      </c>
      <c r="I104" s="77">
        <f t="shared" si="8"/>
        <v>86.46743727093317</v>
      </c>
    </row>
    <row r="105" spans="1:9" ht="12.75">
      <c r="A105" s="60" t="s">
        <v>3</v>
      </c>
      <c r="B105" s="29" t="s">
        <v>66</v>
      </c>
      <c r="C105" s="29" t="s">
        <v>74</v>
      </c>
      <c r="D105" s="29"/>
      <c r="E105" s="29"/>
      <c r="F105" s="30">
        <f aca="true" t="shared" si="11" ref="F105:G108">F106</f>
        <v>1000</v>
      </c>
      <c r="G105" s="30">
        <f t="shared" si="11"/>
        <v>386.70000000000005</v>
      </c>
      <c r="H105" s="30">
        <f t="shared" si="7"/>
        <v>613.3</v>
      </c>
      <c r="I105" s="82">
        <f t="shared" si="8"/>
        <v>38.67</v>
      </c>
    </row>
    <row r="106" spans="1:9" ht="12.75">
      <c r="A106" s="46" t="s">
        <v>3</v>
      </c>
      <c r="B106" s="13" t="s">
        <v>66</v>
      </c>
      <c r="C106" s="13" t="s">
        <v>74</v>
      </c>
      <c r="D106" s="13" t="s">
        <v>258</v>
      </c>
      <c r="E106" s="13"/>
      <c r="F106" s="14">
        <f t="shared" si="11"/>
        <v>1000</v>
      </c>
      <c r="G106" s="14">
        <f t="shared" si="11"/>
        <v>386.70000000000005</v>
      </c>
      <c r="H106" s="14">
        <f t="shared" si="7"/>
        <v>613.3</v>
      </c>
      <c r="I106" s="77">
        <f t="shared" si="8"/>
        <v>38.67</v>
      </c>
    </row>
    <row r="107" spans="1:9" ht="12.75">
      <c r="A107" s="46" t="s">
        <v>548</v>
      </c>
      <c r="B107" s="13" t="s">
        <v>66</v>
      </c>
      <c r="C107" s="13" t="s">
        <v>74</v>
      </c>
      <c r="D107" s="13" t="s">
        <v>549</v>
      </c>
      <c r="E107" s="13"/>
      <c r="F107" s="14">
        <f t="shared" si="11"/>
        <v>1000</v>
      </c>
      <c r="G107" s="14">
        <f t="shared" si="11"/>
        <v>386.70000000000005</v>
      </c>
      <c r="H107" s="14">
        <f t="shared" si="7"/>
        <v>613.3</v>
      </c>
      <c r="I107" s="77">
        <f t="shared" si="8"/>
        <v>38.67</v>
      </c>
    </row>
    <row r="108" spans="1:9" ht="12.75">
      <c r="A108" s="46" t="s">
        <v>137</v>
      </c>
      <c r="B108" s="13" t="s">
        <v>66</v>
      </c>
      <c r="C108" s="13" t="s">
        <v>74</v>
      </c>
      <c r="D108" s="13" t="s">
        <v>549</v>
      </c>
      <c r="E108" s="13" t="s">
        <v>138</v>
      </c>
      <c r="F108" s="14">
        <f t="shared" si="11"/>
        <v>1000</v>
      </c>
      <c r="G108" s="14">
        <f t="shared" si="11"/>
        <v>386.70000000000005</v>
      </c>
      <c r="H108" s="14">
        <f t="shared" si="7"/>
        <v>613.3</v>
      </c>
      <c r="I108" s="77">
        <f t="shared" si="8"/>
        <v>38.67</v>
      </c>
    </row>
    <row r="109" spans="1:9" ht="12.75">
      <c r="A109" s="46" t="s">
        <v>149</v>
      </c>
      <c r="B109" s="13" t="s">
        <v>66</v>
      </c>
      <c r="C109" s="13" t="s">
        <v>74</v>
      </c>
      <c r="D109" s="13" t="s">
        <v>549</v>
      </c>
      <c r="E109" s="13" t="s">
        <v>150</v>
      </c>
      <c r="F109" s="14">
        <f>'пр. 4 Вед'!G345</f>
        <v>1000</v>
      </c>
      <c r="G109" s="14">
        <f>'пр. 4 Вед'!H345</f>
        <v>386.70000000000005</v>
      </c>
      <c r="H109" s="14">
        <f t="shared" si="7"/>
        <v>613.3</v>
      </c>
      <c r="I109" s="77">
        <f t="shared" si="8"/>
        <v>38.67</v>
      </c>
    </row>
    <row r="110" spans="1:9" ht="12.75">
      <c r="A110" s="60" t="s">
        <v>63</v>
      </c>
      <c r="B110" s="29" t="s">
        <v>66</v>
      </c>
      <c r="C110" s="29" t="s">
        <v>89</v>
      </c>
      <c r="D110" s="29"/>
      <c r="E110" s="29"/>
      <c r="F110" s="30">
        <f>F111+F143+F183+F189+F206+F149+F169+F128</f>
        <v>27202.199999999997</v>
      </c>
      <c r="G110" s="30">
        <f>G111+G143+G183+G189+G206+G149+G169+G128</f>
        <v>25848.5</v>
      </c>
      <c r="H110" s="30">
        <f t="shared" si="7"/>
        <v>1353.699999999997</v>
      </c>
      <c r="I110" s="82">
        <f t="shared" si="8"/>
        <v>95.02356427053695</v>
      </c>
    </row>
    <row r="111" spans="1:17" s="27" customFormat="1" ht="25.5">
      <c r="A111" s="46" t="s">
        <v>305</v>
      </c>
      <c r="B111" s="13" t="s">
        <v>66</v>
      </c>
      <c r="C111" s="13" t="s">
        <v>89</v>
      </c>
      <c r="D111" s="13" t="s">
        <v>306</v>
      </c>
      <c r="E111" s="13"/>
      <c r="F111" s="14">
        <f>F112+F118</f>
        <v>2213.2999999999997</v>
      </c>
      <c r="G111" s="14">
        <f>G112+G118</f>
        <v>2094.8999999999996</v>
      </c>
      <c r="H111" s="14">
        <f t="shared" si="7"/>
        <v>118.40000000000009</v>
      </c>
      <c r="I111" s="77">
        <f t="shared" si="8"/>
        <v>94.65052184520852</v>
      </c>
      <c r="L111" s="192"/>
      <c r="M111" s="192"/>
      <c r="N111" s="192"/>
      <c r="O111" s="192"/>
      <c r="P111" s="192"/>
      <c r="Q111" s="192"/>
    </row>
    <row r="112" spans="1:17" s="27" customFormat="1" ht="25.5">
      <c r="A112" s="46" t="s">
        <v>349</v>
      </c>
      <c r="B112" s="13" t="s">
        <v>66</v>
      </c>
      <c r="C112" s="13" t="s">
        <v>89</v>
      </c>
      <c r="D112" s="13" t="s">
        <v>350</v>
      </c>
      <c r="E112" s="13"/>
      <c r="F112" s="14">
        <f aca="true" t="shared" si="12" ref="F112:G114">F113</f>
        <v>1171.6</v>
      </c>
      <c r="G112" s="14">
        <f t="shared" si="12"/>
        <v>1171.6</v>
      </c>
      <c r="H112" s="14">
        <f t="shared" si="7"/>
        <v>0</v>
      </c>
      <c r="I112" s="77">
        <f t="shared" si="8"/>
        <v>100</v>
      </c>
      <c r="L112" s="192"/>
      <c r="M112" s="192"/>
      <c r="N112" s="192"/>
      <c r="O112" s="192"/>
      <c r="P112" s="192"/>
      <c r="Q112" s="192"/>
    </row>
    <row r="113" spans="1:17" s="23" customFormat="1" ht="51">
      <c r="A113" s="46" t="s">
        <v>307</v>
      </c>
      <c r="B113" s="13" t="s">
        <v>66</v>
      </c>
      <c r="C113" s="13" t="s">
        <v>89</v>
      </c>
      <c r="D113" s="13" t="s">
        <v>308</v>
      </c>
      <c r="E113" s="13"/>
      <c r="F113" s="14">
        <f t="shared" si="12"/>
        <v>1171.6</v>
      </c>
      <c r="G113" s="14">
        <f t="shared" si="12"/>
        <v>1171.6</v>
      </c>
      <c r="H113" s="14">
        <f t="shared" si="7"/>
        <v>0</v>
      </c>
      <c r="I113" s="77">
        <f t="shared" si="8"/>
        <v>100</v>
      </c>
      <c r="L113" s="121"/>
      <c r="M113" s="121"/>
      <c r="N113" s="121"/>
      <c r="O113" s="121"/>
      <c r="P113" s="121"/>
      <c r="Q113" s="121"/>
    </row>
    <row r="114" spans="1:17" s="23" customFormat="1" ht="38.25">
      <c r="A114" s="46" t="s">
        <v>110</v>
      </c>
      <c r="B114" s="13" t="s">
        <v>66</v>
      </c>
      <c r="C114" s="13" t="s">
        <v>89</v>
      </c>
      <c r="D114" s="13" t="s">
        <v>308</v>
      </c>
      <c r="E114" s="13" t="s">
        <v>111</v>
      </c>
      <c r="F114" s="14">
        <f t="shared" si="12"/>
        <v>1171.6</v>
      </c>
      <c r="G114" s="14">
        <f t="shared" si="12"/>
        <v>1171.6</v>
      </c>
      <c r="H114" s="14">
        <f t="shared" si="7"/>
        <v>0</v>
      </c>
      <c r="I114" s="77">
        <f t="shared" si="8"/>
        <v>100</v>
      </c>
      <c r="L114" s="121"/>
      <c r="M114" s="121"/>
      <c r="N114" s="121"/>
      <c r="O114" s="121"/>
      <c r="P114" s="121"/>
      <c r="Q114" s="121"/>
    </row>
    <row r="115" spans="1:17" s="23" customFormat="1" ht="12.75">
      <c r="A115" s="46" t="s">
        <v>101</v>
      </c>
      <c r="B115" s="13" t="s">
        <v>66</v>
      </c>
      <c r="C115" s="13" t="s">
        <v>89</v>
      </c>
      <c r="D115" s="13" t="s">
        <v>308</v>
      </c>
      <c r="E115" s="13" t="s">
        <v>102</v>
      </c>
      <c r="F115" s="14">
        <f>F116+F117</f>
        <v>1171.6</v>
      </c>
      <c r="G115" s="14">
        <f>G116+G117</f>
        <v>1171.6</v>
      </c>
      <c r="H115" s="14">
        <f t="shared" si="7"/>
        <v>0</v>
      </c>
      <c r="I115" s="77">
        <f t="shared" si="8"/>
        <v>100</v>
      </c>
      <c r="L115" s="121"/>
      <c r="M115" s="121"/>
      <c r="N115" s="121"/>
      <c r="O115" s="121"/>
      <c r="P115" s="121"/>
      <c r="Q115" s="121"/>
    </row>
    <row r="116" spans="1:17" s="23" customFormat="1" ht="12.75">
      <c r="A116" s="46" t="s">
        <v>176</v>
      </c>
      <c r="B116" s="13" t="s">
        <v>66</v>
      </c>
      <c r="C116" s="13" t="s">
        <v>89</v>
      </c>
      <c r="D116" s="13" t="s">
        <v>308</v>
      </c>
      <c r="E116" s="13" t="s">
        <v>103</v>
      </c>
      <c r="F116" s="14">
        <f>'пр. 4 Вед'!G54</f>
        <v>925</v>
      </c>
      <c r="G116" s="14">
        <f>'пр. 4 Вед'!H54</f>
        <v>925</v>
      </c>
      <c r="H116" s="14">
        <f t="shared" si="7"/>
        <v>0</v>
      </c>
      <c r="I116" s="77">
        <f t="shared" si="8"/>
        <v>100</v>
      </c>
      <c r="L116" s="121"/>
      <c r="M116" s="121"/>
      <c r="N116" s="121"/>
      <c r="O116" s="121"/>
      <c r="P116" s="121"/>
      <c r="Q116" s="121"/>
    </row>
    <row r="117" spans="1:9" ht="25.5">
      <c r="A117" s="46" t="s">
        <v>178</v>
      </c>
      <c r="B117" s="13" t="s">
        <v>66</v>
      </c>
      <c r="C117" s="13" t="s">
        <v>89</v>
      </c>
      <c r="D117" s="13" t="s">
        <v>308</v>
      </c>
      <c r="E117" s="13" t="s">
        <v>177</v>
      </c>
      <c r="F117" s="14">
        <f>'пр. 4 Вед'!G55</f>
        <v>246.6</v>
      </c>
      <c r="G117" s="14">
        <f>'пр. 4 Вед'!H55</f>
        <v>246.6</v>
      </c>
      <c r="H117" s="14">
        <f t="shared" si="7"/>
        <v>0</v>
      </c>
      <c r="I117" s="77">
        <f t="shared" si="8"/>
        <v>100</v>
      </c>
    </row>
    <row r="118" spans="1:9" ht="25.5">
      <c r="A118" s="46" t="s">
        <v>351</v>
      </c>
      <c r="B118" s="13" t="s">
        <v>66</v>
      </c>
      <c r="C118" s="13" t="s">
        <v>89</v>
      </c>
      <c r="D118" s="13" t="s">
        <v>352</v>
      </c>
      <c r="E118" s="13"/>
      <c r="F118" s="14">
        <f>F119</f>
        <v>1041.6999999999998</v>
      </c>
      <c r="G118" s="14">
        <f>G119</f>
        <v>923.3</v>
      </c>
      <c r="H118" s="14">
        <f t="shared" si="7"/>
        <v>118.39999999999986</v>
      </c>
      <c r="I118" s="77">
        <f t="shared" si="8"/>
        <v>88.6339637131612</v>
      </c>
    </row>
    <row r="119" spans="1:9" ht="26.25" customHeight="1">
      <c r="A119" s="46" t="s">
        <v>392</v>
      </c>
      <c r="B119" s="13" t="s">
        <v>66</v>
      </c>
      <c r="C119" s="13" t="s">
        <v>89</v>
      </c>
      <c r="D119" s="13" t="s">
        <v>315</v>
      </c>
      <c r="E119" s="13"/>
      <c r="F119" s="14">
        <f>F120+F125</f>
        <v>1041.6999999999998</v>
      </c>
      <c r="G119" s="14">
        <f>G120+G125</f>
        <v>923.3</v>
      </c>
      <c r="H119" s="14">
        <f t="shared" si="7"/>
        <v>118.39999999999986</v>
      </c>
      <c r="I119" s="77">
        <f t="shared" si="8"/>
        <v>88.6339637131612</v>
      </c>
    </row>
    <row r="120" spans="1:9" ht="38.25">
      <c r="A120" s="46" t="s">
        <v>110</v>
      </c>
      <c r="B120" s="13" t="s">
        <v>66</v>
      </c>
      <c r="C120" s="13" t="s">
        <v>89</v>
      </c>
      <c r="D120" s="13" t="s">
        <v>315</v>
      </c>
      <c r="E120" s="13" t="s">
        <v>111</v>
      </c>
      <c r="F120" s="14">
        <f>F121</f>
        <v>861.3</v>
      </c>
      <c r="G120" s="14">
        <f>G121</f>
        <v>861.3</v>
      </c>
      <c r="H120" s="14">
        <f t="shared" si="7"/>
        <v>0</v>
      </c>
      <c r="I120" s="77">
        <f t="shared" si="8"/>
        <v>100</v>
      </c>
    </row>
    <row r="121" spans="1:9" ht="12.75">
      <c r="A121" s="46" t="s">
        <v>101</v>
      </c>
      <c r="B121" s="13" t="s">
        <v>66</v>
      </c>
      <c r="C121" s="13" t="s">
        <v>89</v>
      </c>
      <c r="D121" s="13" t="s">
        <v>315</v>
      </c>
      <c r="E121" s="13" t="s">
        <v>102</v>
      </c>
      <c r="F121" s="14">
        <f>F122+F124+F123</f>
        <v>861.3</v>
      </c>
      <c r="G121" s="14">
        <f>G122+G124+G123</f>
        <v>861.3</v>
      </c>
      <c r="H121" s="14">
        <f t="shared" si="7"/>
        <v>0</v>
      </c>
      <c r="I121" s="77">
        <f t="shared" si="8"/>
        <v>100</v>
      </c>
    </row>
    <row r="122" spans="1:9" ht="12.75">
      <c r="A122" s="46" t="s">
        <v>176</v>
      </c>
      <c r="B122" s="13" t="s">
        <v>66</v>
      </c>
      <c r="C122" s="13" t="s">
        <v>89</v>
      </c>
      <c r="D122" s="13" t="s">
        <v>315</v>
      </c>
      <c r="E122" s="13" t="s">
        <v>103</v>
      </c>
      <c r="F122" s="14">
        <f>'пр. 4 Вед'!G60</f>
        <v>629.3</v>
      </c>
      <c r="G122" s="14">
        <f>'пр. 4 Вед'!H60</f>
        <v>629.3</v>
      </c>
      <c r="H122" s="14">
        <f t="shared" si="7"/>
        <v>0</v>
      </c>
      <c r="I122" s="77">
        <f t="shared" si="8"/>
        <v>100</v>
      </c>
    </row>
    <row r="123" spans="1:9" ht="25.5">
      <c r="A123" s="46" t="s">
        <v>104</v>
      </c>
      <c r="B123" s="13" t="s">
        <v>66</v>
      </c>
      <c r="C123" s="13" t="s">
        <v>89</v>
      </c>
      <c r="D123" s="13" t="s">
        <v>315</v>
      </c>
      <c r="E123" s="13" t="s">
        <v>105</v>
      </c>
      <c r="F123" s="14">
        <f>'пр. 4 Вед'!G61</f>
        <v>42</v>
      </c>
      <c r="G123" s="14">
        <f>'пр. 4 Вед'!H61</f>
        <v>42</v>
      </c>
      <c r="H123" s="14">
        <f t="shared" si="7"/>
        <v>0</v>
      </c>
      <c r="I123" s="77">
        <f t="shared" si="8"/>
        <v>100</v>
      </c>
    </row>
    <row r="124" spans="1:17" s="27" customFormat="1" ht="25.5">
      <c r="A124" s="46" t="s">
        <v>178</v>
      </c>
      <c r="B124" s="13" t="s">
        <v>66</v>
      </c>
      <c r="C124" s="13" t="s">
        <v>89</v>
      </c>
      <c r="D124" s="13" t="s">
        <v>315</v>
      </c>
      <c r="E124" s="13" t="s">
        <v>177</v>
      </c>
      <c r="F124" s="14">
        <f>'пр. 4 Вед'!G62</f>
        <v>190</v>
      </c>
      <c r="G124" s="14">
        <f>'пр. 4 Вед'!H62</f>
        <v>190</v>
      </c>
      <c r="H124" s="14">
        <f t="shared" si="7"/>
        <v>0</v>
      </c>
      <c r="I124" s="77">
        <f t="shared" si="8"/>
        <v>100</v>
      </c>
      <c r="L124" s="192"/>
      <c r="M124" s="192"/>
      <c r="N124" s="192"/>
      <c r="O124" s="192"/>
      <c r="P124" s="192"/>
      <c r="Q124" s="192"/>
    </row>
    <row r="125" spans="1:17" s="27" customFormat="1" ht="12.75">
      <c r="A125" s="46" t="s">
        <v>770</v>
      </c>
      <c r="B125" s="13" t="s">
        <v>66</v>
      </c>
      <c r="C125" s="13" t="s">
        <v>89</v>
      </c>
      <c r="D125" s="13" t="s">
        <v>315</v>
      </c>
      <c r="E125" s="13" t="s">
        <v>113</v>
      </c>
      <c r="F125" s="14">
        <f>F126</f>
        <v>180.39999999999998</v>
      </c>
      <c r="G125" s="14">
        <f>G126</f>
        <v>62</v>
      </c>
      <c r="H125" s="14">
        <f t="shared" si="7"/>
        <v>118.39999999999998</v>
      </c>
      <c r="I125" s="77">
        <f t="shared" si="8"/>
        <v>34.36807095343681</v>
      </c>
      <c r="L125" s="192"/>
      <c r="M125" s="192"/>
      <c r="N125" s="192"/>
      <c r="O125" s="192"/>
      <c r="P125" s="192"/>
      <c r="Q125" s="192"/>
    </row>
    <row r="126" spans="1:17" s="27" customFormat="1" ht="25.5">
      <c r="A126" s="46" t="s">
        <v>106</v>
      </c>
      <c r="B126" s="13" t="s">
        <v>66</v>
      </c>
      <c r="C126" s="13" t="s">
        <v>89</v>
      </c>
      <c r="D126" s="13" t="s">
        <v>315</v>
      </c>
      <c r="E126" s="13" t="s">
        <v>107</v>
      </c>
      <c r="F126" s="14">
        <f>F127</f>
        <v>180.39999999999998</v>
      </c>
      <c r="G126" s="14">
        <f>G127</f>
        <v>62</v>
      </c>
      <c r="H126" s="14">
        <f t="shared" si="7"/>
        <v>118.39999999999998</v>
      </c>
      <c r="I126" s="77">
        <f t="shared" si="8"/>
        <v>34.36807095343681</v>
      </c>
      <c r="L126" s="192"/>
      <c r="M126" s="192"/>
      <c r="N126" s="192"/>
      <c r="O126" s="192"/>
      <c r="P126" s="192"/>
      <c r="Q126" s="192"/>
    </row>
    <row r="127" spans="1:17" s="27" customFormat="1" ht="25.5">
      <c r="A127" s="46" t="s">
        <v>108</v>
      </c>
      <c r="B127" s="13" t="s">
        <v>66</v>
      </c>
      <c r="C127" s="13" t="s">
        <v>89</v>
      </c>
      <c r="D127" s="13" t="s">
        <v>315</v>
      </c>
      <c r="E127" s="13" t="s">
        <v>109</v>
      </c>
      <c r="F127" s="14">
        <f>'пр. 4 Вед'!G65</f>
        <v>180.39999999999998</v>
      </c>
      <c r="G127" s="14">
        <f>'пр. 4 Вед'!H65</f>
        <v>62</v>
      </c>
      <c r="H127" s="14">
        <f t="shared" si="7"/>
        <v>118.39999999999998</v>
      </c>
      <c r="I127" s="77">
        <f t="shared" si="8"/>
        <v>34.36807095343681</v>
      </c>
      <c r="L127" s="192"/>
      <c r="M127" s="192"/>
      <c r="N127" s="192"/>
      <c r="O127" s="192"/>
      <c r="P127" s="192"/>
      <c r="Q127" s="192"/>
    </row>
    <row r="128" spans="1:17" s="27" customFormat="1" ht="12.75">
      <c r="A128" s="9" t="s">
        <v>666</v>
      </c>
      <c r="B128" s="13" t="s">
        <v>66</v>
      </c>
      <c r="C128" s="13" t="s">
        <v>89</v>
      </c>
      <c r="D128" s="13" t="s">
        <v>668</v>
      </c>
      <c r="E128" s="13"/>
      <c r="F128" s="14">
        <f>F129</f>
        <v>1317.5</v>
      </c>
      <c r="G128" s="14">
        <f>G129</f>
        <v>702.7</v>
      </c>
      <c r="H128" s="14">
        <f t="shared" si="7"/>
        <v>614.8</v>
      </c>
      <c r="I128" s="77">
        <f t="shared" si="8"/>
        <v>53.335863377609115</v>
      </c>
      <c r="L128" s="192"/>
      <c r="M128" s="192"/>
      <c r="N128" s="192"/>
      <c r="O128" s="192"/>
      <c r="P128" s="192"/>
      <c r="Q128" s="192"/>
    </row>
    <row r="129" spans="1:17" s="27" customFormat="1" ht="12.75">
      <c r="A129" s="9" t="s">
        <v>747</v>
      </c>
      <c r="B129" s="13" t="s">
        <v>66</v>
      </c>
      <c r="C129" s="13" t="s">
        <v>89</v>
      </c>
      <c r="D129" s="13" t="s">
        <v>669</v>
      </c>
      <c r="E129" s="13"/>
      <c r="F129" s="14">
        <f>F130+F134</f>
        <v>1317.5</v>
      </c>
      <c r="G129" s="14">
        <f>G130+G134</f>
        <v>702.7</v>
      </c>
      <c r="H129" s="14">
        <f t="shared" si="7"/>
        <v>614.8</v>
      </c>
      <c r="I129" s="77">
        <f t="shared" si="8"/>
        <v>53.335863377609115</v>
      </c>
      <c r="L129" s="192"/>
      <c r="M129" s="192"/>
      <c r="N129" s="192"/>
      <c r="O129" s="192"/>
      <c r="P129" s="192"/>
      <c r="Q129" s="192"/>
    </row>
    <row r="130" spans="1:17" s="27" customFormat="1" ht="25.5">
      <c r="A130" s="9" t="s">
        <v>667</v>
      </c>
      <c r="B130" s="13" t="s">
        <v>66</v>
      </c>
      <c r="C130" s="13" t="s">
        <v>89</v>
      </c>
      <c r="D130" s="13" t="s">
        <v>670</v>
      </c>
      <c r="E130" s="13"/>
      <c r="F130" s="14">
        <f aca="true" t="shared" si="13" ref="F130:G132">F131</f>
        <v>673.9</v>
      </c>
      <c r="G130" s="14">
        <f t="shared" si="13"/>
        <v>60.2</v>
      </c>
      <c r="H130" s="14">
        <f t="shared" si="7"/>
        <v>613.6999999999999</v>
      </c>
      <c r="I130" s="77">
        <f t="shared" si="8"/>
        <v>8.933076124054015</v>
      </c>
      <c r="L130" s="192"/>
      <c r="M130" s="192"/>
      <c r="N130" s="192"/>
      <c r="O130" s="192"/>
      <c r="P130" s="192"/>
      <c r="Q130" s="192"/>
    </row>
    <row r="131" spans="1:17" s="27" customFormat="1" ht="12.75">
      <c r="A131" s="46" t="s">
        <v>770</v>
      </c>
      <c r="B131" s="13" t="s">
        <v>66</v>
      </c>
      <c r="C131" s="13" t="s">
        <v>89</v>
      </c>
      <c r="D131" s="13" t="s">
        <v>670</v>
      </c>
      <c r="E131" s="13" t="s">
        <v>113</v>
      </c>
      <c r="F131" s="14">
        <f t="shared" si="13"/>
        <v>673.9</v>
      </c>
      <c r="G131" s="14">
        <f t="shared" si="13"/>
        <v>60.2</v>
      </c>
      <c r="H131" s="14">
        <f t="shared" si="7"/>
        <v>613.6999999999999</v>
      </c>
      <c r="I131" s="77">
        <f t="shared" si="8"/>
        <v>8.933076124054015</v>
      </c>
      <c r="L131" s="192"/>
      <c r="M131" s="192"/>
      <c r="N131" s="192"/>
      <c r="O131" s="192"/>
      <c r="P131" s="192"/>
      <c r="Q131" s="192"/>
    </row>
    <row r="132" spans="1:17" s="27" customFormat="1" ht="25.5">
      <c r="A132" s="9" t="s">
        <v>106</v>
      </c>
      <c r="B132" s="13" t="s">
        <v>66</v>
      </c>
      <c r="C132" s="13" t="s">
        <v>89</v>
      </c>
      <c r="D132" s="13" t="s">
        <v>670</v>
      </c>
      <c r="E132" s="13" t="s">
        <v>107</v>
      </c>
      <c r="F132" s="14">
        <f t="shared" si="13"/>
        <v>673.9</v>
      </c>
      <c r="G132" s="14">
        <f t="shared" si="13"/>
        <v>60.2</v>
      </c>
      <c r="H132" s="14">
        <f t="shared" si="7"/>
        <v>613.6999999999999</v>
      </c>
      <c r="I132" s="77">
        <f t="shared" si="8"/>
        <v>8.933076124054015</v>
      </c>
      <c r="L132" s="192"/>
      <c r="M132" s="192"/>
      <c r="N132" s="192"/>
      <c r="O132" s="192"/>
      <c r="P132" s="192"/>
      <c r="Q132" s="192"/>
    </row>
    <row r="133" spans="1:17" s="27" customFormat="1" ht="25.5">
      <c r="A133" s="9" t="s">
        <v>108</v>
      </c>
      <c r="B133" s="13" t="s">
        <v>66</v>
      </c>
      <c r="C133" s="13" t="s">
        <v>89</v>
      </c>
      <c r="D133" s="13" t="s">
        <v>670</v>
      </c>
      <c r="E133" s="13" t="s">
        <v>109</v>
      </c>
      <c r="F133" s="14">
        <f>'пр. 4 Вед'!G71</f>
        <v>673.9</v>
      </c>
      <c r="G133" s="14">
        <f>'пр. 4 Вед'!H71</f>
        <v>60.2</v>
      </c>
      <c r="H133" s="14">
        <f t="shared" si="7"/>
        <v>613.6999999999999</v>
      </c>
      <c r="I133" s="77">
        <f t="shared" si="8"/>
        <v>8.933076124054015</v>
      </c>
      <c r="L133" s="192"/>
      <c r="M133" s="192"/>
      <c r="N133" s="192"/>
      <c r="O133" s="192"/>
      <c r="P133" s="192"/>
      <c r="Q133" s="192"/>
    </row>
    <row r="134" spans="1:17" s="27" customFormat="1" ht="75.75" customHeight="1">
      <c r="A134" s="46" t="s">
        <v>316</v>
      </c>
      <c r="B134" s="13" t="s">
        <v>66</v>
      </c>
      <c r="C134" s="13" t="s">
        <v>89</v>
      </c>
      <c r="D134" s="13" t="s">
        <v>317</v>
      </c>
      <c r="E134" s="13"/>
      <c r="F134" s="14">
        <f>F135+F140</f>
        <v>643.5999999999999</v>
      </c>
      <c r="G134" s="14">
        <f>G135+G140</f>
        <v>642.5</v>
      </c>
      <c r="H134" s="14">
        <f t="shared" si="7"/>
        <v>1.099999999999909</v>
      </c>
      <c r="I134" s="77">
        <f t="shared" si="8"/>
        <v>99.82908638906154</v>
      </c>
      <c r="L134" s="192"/>
      <c r="M134" s="192"/>
      <c r="N134" s="192"/>
      <c r="O134" s="192"/>
      <c r="P134" s="192"/>
      <c r="Q134" s="192"/>
    </row>
    <row r="135" spans="1:17" s="27" customFormat="1" ht="38.25">
      <c r="A135" s="46" t="s">
        <v>110</v>
      </c>
      <c r="B135" s="13" t="s">
        <v>66</v>
      </c>
      <c r="C135" s="13" t="s">
        <v>89</v>
      </c>
      <c r="D135" s="13" t="s">
        <v>317</v>
      </c>
      <c r="E135" s="13" t="s">
        <v>111</v>
      </c>
      <c r="F135" s="14">
        <f>F136</f>
        <v>546.8</v>
      </c>
      <c r="G135" s="14">
        <f>G136</f>
        <v>545.9</v>
      </c>
      <c r="H135" s="14">
        <f t="shared" si="7"/>
        <v>0.8999999999999773</v>
      </c>
      <c r="I135" s="77">
        <f t="shared" si="8"/>
        <v>99.83540599853694</v>
      </c>
      <c r="L135" s="192"/>
      <c r="M135" s="192"/>
      <c r="N135" s="192"/>
      <c r="O135" s="192"/>
      <c r="P135" s="192"/>
      <c r="Q135" s="192"/>
    </row>
    <row r="136" spans="1:17" s="27" customFormat="1" ht="12.75">
      <c r="A136" s="46" t="s">
        <v>101</v>
      </c>
      <c r="B136" s="13" t="s">
        <v>66</v>
      </c>
      <c r="C136" s="13" t="s">
        <v>89</v>
      </c>
      <c r="D136" s="13" t="s">
        <v>317</v>
      </c>
      <c r="E136" s="13" t="s">
        <v>102</v>
      </c>
      <c r="F136" s="14">
        <f>F137+F138+F139</f>
        <v>546.8</v>
      </c>
      <c r="G136" s="14">
        <f>G137+G138+G139</f>
        <v>545.9</v>
      </c>
      <c r="H136" s="14">
        <f t="shared" si="7"/>
        <v>0.8999999999999773</v>
      </c>
      <c r="I136" s="77">
        <f t="shared" si="8"/>
        <v>99.83540599853694</v>
      </c>
      <c r="L136" s="192"/>
      <c r="M136" s="192"/>
      <c r="N136" s="192"/>
      <c r="O136" s="192"/>
      <c r="P136" s="192"/>
      <c r="Q136" s="192"/>
    </row>
    <row r="137" spans="1:17" s="27" customFormat="1" ht="12.75">
      <c r="A137" s="46" t="s">
        <v>176</v>
      </c>
      <c r="B137" s="13" t="s">
        <v>66</v>
      </c>
      <c r="C137" s="13" t="s">
        <v>89</v>
      </c>
      <c r="D137" s="13" t="s">
        <v>317</v>
      </c>
      <c r="E137" s="13" t="s">
        <v>103</v>
      </c>
      <c r="F137" s="14">
        <f>'пр. 4 Вед'!G75</f>
        <v>414.49999999999994</v>
      </c>
      <c r="G137" s="14">
        <f>'пр. 4 Вед'!H75</f>
        <v>414.3</v>
      </c>
      <c r="H137" s="14">
        <f aca="true" t="shared" si="14" ref="H137:H200">F137-G137</f>
        <v>0.1999999999999318</v>
      </c>
      <c r="I137" s="77">
        <f aca="true" t="shared" si="15" ref="I137:I200">G137/F137*100</f>
        <v>99.95174909529555</v>
      </c>
      <c r="L137" s="192"/>
      <c r="M137" s="192"/>
      <c r="N137" s="192"/>
      <c r="O137" s="192"/>
      <c r="P137" s="192"/>
      <c r="Q137" s="192"/>
    </row>
    <row r="138" spans="1:17" s="27" customFormat="1" ht="25.5">
      <c r="A138" s="46" t="s">
        <v>104</v>
      </c>
      <c r="B138" s="13" t="s">
        <v>66</v>
      </c>
      <c r="C138" s="13" t="s">
        <v>89</v>
      </c>
      <c r="D138" s="13" t="s">
        <v>317</v>
      </c>
      <c r="E138" s="13" t="s">
        <v>105</v>
      </c>
      <c r="F138" s="14">
        <f>'пр. 4 Вед'!G76</f>
        <v>14</v>
      </c>
      <c r="G138" s="14">
        <f>'пр. 4 Вед'!H76</f>
        <v>13.9</v>
      </c>
      <c r="H138" s="14">
        <f t="shared" si="14"/>
        <v>0.09999999999999964</v>
      </c>
      <c r="I138" s="77">
        <f t="shared" si="15"/>
        <v>99.28571428571429</v>
      </c>
      <c r="L138" s="192"/>
      <c r="M138" s="192"/>
      <c r="N138" s="192"/>
      <c r="O138" s="192"/>
      <c r="P138" s="192"/>
      <c r="Q138" s="192"/>
    </row>
    <row r="139" spans="1:9" ht="25.5">
      <c r="A139" s="46" t="s">
        <v>178</v>
      </c>
      <c r="B139" s="13" t="s">
        <v>66</v>
      </c>
      <c r="C139" s="13" t="s">
        <v>89</v>
      </c>
      <c r="D139" s="13" t="s">
        <v>317</v>
      </c>
      <c r="E139" s="13" t="s">
        <v>177</v>
      </c>
      <c r="F139" s="14">
        <f>'пр. 4 Вед'!G77</f>
        <v>118.3</v>
      </c>
      <c r="G139" s="14">
        <f>'пр. 4 Вед'!H77</f>
        <v>117.7</v>
      </c>
      <c r="H139" s="14">
        <f t="shared" si="14"/>
        <v>0.5999999999999943</v>
      </c>
      <c r="I139" s="77">
        <f t="shared" si="15"/>
        <v>99.49281487743026</v>
      </c>
    </row>
    <row r="140" spans="1:9" ht="29.25" customHeight="1">
      <c r="A140" s="46" t="s">
        <v>770</v>
      </c>
      <c r="B140" s="13" t="s">
        <v>66</v>
      </c>
      <c r="C140" s="13" t="s">
        <v>89</v>
      </c>
      <c r="D140" s="13" t="s">
        <v>317</v>
      </c>
      <c r="E140" s="13" t="s">
        <v>113</v>
      </c>
      <c r="F140" s="14">
        <f>F141</f>
        <v>96.80000000000001</v>
      </c>
      <c r="G140" s="14">
        <f>G141</f>
        <v>96.6</v>
      </c>
      <c r="H140" s="14">
        <f t="shared" si="14"/>
        <v>0.20000000000001705</v>
      </c>
      <c r="I140" s="77">
        <f t="shared" si="15"/>
        <v>99.79338842975206</v>
      </c>
    </row>
    <row r="141" spans="1:9" ht="25.5">
      <c r="A141" s="46" t="s">
        <v>106</v>
      </c>
      <c r="B141" s="13" t="s">
        <v>66</v>
      </c>
      <c r="C141" s="13" t="s">
        <v>89</v>
      </c>
      <c r="D141" s="13" t="s">
        <v>317</v>
      </c>
      <c r="E141" s="13" t="s">
        <v>107</v>
      </c>
      <c r="F141" s="14">
        <f>F142</f>
        <v>96.80000000000001</v>
      </c>
      <c r="G141" s="14">
        <f>G142</f>
        <v>96.6</v>
      </c>
      <c r="H141" s="14">
        <f t="shared" si="14"/>
        <v>0.20000000000001705</v>
      </c>
      <c r="I141" s="77">
        <f t="shared" si="15"/>
        <v>99.79338842975206</v>
      </c>
    </row>
    <row r="142" spans="1:9" ht="25.5">
      <c r="A142" s="46" t="s">
        <v>108</v>
      </c>
      <c r="B142" s="13" t="s">
        <v>66</v>
      </c>
      <c r="C142" s="13" t="s">
        <v>89</v>
      </c>
      <c r="D142" s="13" t="s">
        <v>317</v>
      </c>
      <c r="E142" s="13" t="s">
        <v>109</v>
      </c>
      <c r="F142" s="14">
        <f>'пр. 4 Вед'!G80</f>
        <v>96.80000000000001</v>
      </c>
      <c r="G142" s="14">
        <f>'пр. 4 Вед'!H80</f>
        <v>96.6</v>
      </c>
      <c r="H142" s="14">
        <f t="shared" si="14"/>
        <v>0.20000000000001705</v>
      </c>
      <c r="I142" s="77">
        <f t="shared" si="15"/>
        <v>99.79338842975206</v>
      </c>
    </row>
    <row r="143" spans="1:9" ht="25.5">
      <c r="A143" s="46" t="s">
        <v>355</v>
      </c>
      <c r="B143" s="13" t="s">
        <v>66</v>
      </c>
      <c r="C143" s="13" t="s">
        <v>89</v>
      </c>
      <c r="D143" s="45" t="s">
        <v>222</v>
      </c>
      <c r="E143" s="13"/>
      <c r="F143" s="14">
        <f aca="true" t="shared" si="16" ref="F143:G147">F144</f>
        <v>8.5</v>
      </c>
      <c r="G143" s="14">
        <f t="shared" si="16"/>
        <v>8.5</v>
      </c>
      <c r="H143" s="14">
        <f t="shared" si="14"/>
        <v>0</v>
      </c>
      <c r="I143" s="77">
        <f t="shared" si="15"/>
        <v>100</v>
      </c>
    </row>
    <row r="144" spans="1:9" ht="25.5">
      <c r="A144" s="46" t="s">
        <v>280</v>
      </c>
      <c r="B144" s="13" t="s">
        <v>66</v>
      </c>
      <c r="C144" s="13" t="s">
        <v>89</v>
      </c>
      <c r="D144" s="45" t="s">
        <v>434</v>
      </c>
      <c r="E144" s="13"/>
      <c r="F144" s="14">
        <f t="shared" si="16"/>
        <v>8.5</v>
      </c>
      <c r="G144" s="14">
        <f t="shared" si="16"/>
        <v>8.5</v>
      </c>
      <c r="H144" s="14">
        <f t="shared" si="14"/>
        <v>0</v>
      </c>
      <c r="I144" s="77">
        <f t="shared" si="15"/>
        <v>100</v>
      </c>
    </row>
    <row r="145" spans="1:17" s="27" customFormat="1" ht="25.5">
      <c r="A145" s="46" t="s">
        <v>240</v>
      </c>
      <c r="B145" s="13" t="s">
        <v>66</v>
      </c>
      <c r="C145" s="13" t="s">
        <v>89</v>
      </c>
      <c r="D145" s="45" t="s">
        <v>435</v>
      </c>
      <c r="E145" s="13"/>
      <c r="F145" s="14">
        <f t="shared" si="16"/>
        <v>8.5</v>
      </c>
      <c r="G145" s="14">
        <f t="shared" si="16"/>
        <v>8.5</v>
      </c>
      <c r="H145" s="14">
        <f t="shared" si="14"/>
        <v>0</v>
      </c>
      <c r="I145" s="77">
        <f t="shared" si="15"/>
        <v>100</v>
      </c>
      <c r="L145" s="192"/>
      <c r="M145" s="192"/>
      <c r="N145" s="192"/>
      <c r="O145" s="192"/>
      <c r="P145" s="192"/>
      <c r="Q145" s="192"/>
    </row>
    <row r="146" spans="1:17" s="27" customFormat="1" ht="12.75">
      <c r="A146" s="46" t="s">
        <v>770</v>
      </c>
      <c r="B146" s="13" t="s">
        <v>66</v>
      </c>
      <c r="C146" s="13" t="s">
        <v>89</v>
      </c>
      <c r="D146" s="45" t="s">
        <v>435</v>
      </c>
      <c r="E146" s="13" t="s">
        <v>113</v>
      </c>
      <c r="F146" s="14">
        <f t="shared" si="16"/>
        <v>8.5</v>
      </c>
      <c r="G146" s="14">
        <f t="shared" si="16"/>
        <v>8.5</v>
      </c>
      <c r="H146" s="14">
        <f t="shared" si="14"/>
        <v>0</v>
      </c>
      <c r="I146" s="77">
        <f t="shared" si="15"/>
        <v>100</v>
      </c>
      <c r="L146" s="192"/>
      <c r="M146" s="192"/>
      <c r="N146" s="192"/>
      <c r="O146" s="192"/>
      <c r="P146" s="192"/>
      <c r="Q146" s="192"/>
    </row>
    <row r="147" spans="1:17" s="27" customFormat="1" ht="25.5">
      <c r="A147" s="46" t="s">
        <v>106</v>
      </c>
      <c r="B147" s="13" t="s">
        <v>66</v>
      </c>
      <c r="C147" s="13" t="s">
        <v>89</v>
      </c>
      <c r="D147" s="45" t="s">
        <v>435</v>
      </c>
      <c r="E147" s="13" t="s">
        <v>107</v>
      </c>
      <c r="F147" s="14">
        <f t="shared" si="16"/>
        <v>8.5</v>
      </c>
      <c r="G147" s="14">
        <f t="shared" si="16"/>
        <v>8.5</v>
      </c>
      <c r="H147" s="14">
        <f t="shared" si="14"/>
        <v>0</v>
      </c>
      <c r="I147" s="77">
        <f t="shared" si="15"/>
        <v>100</v>
      </c>
      <c r="L147" s="192"/>
      <c r="M147" s="192"/>
      <c r="N147" s="192"/>
      <c r="O147" s="192"/>
      <c r="P147" s="192"/>
      <c r="Q147" s="192"/>
    </row>
    <row r="148" spans="1:17" s="27" customFormat="1" ht="25.5">
      <c r="A148" s="46" t="s">
        <v>108</v>
      </c>
      <c r="B148" s="13" t="s">
        <v>66</v>
      </c>
      <c r="C148" s="13" t="s">
        <v>89</v>
      </c>
      <c r="D148" s="45" t="s">
        <v>435</v>
      </c>
      <c r="E148" s="13" t="s">
        <v>109</v>
      </c>
      <c r="F148" s="14">
        <f>'пр. 4 Вед'!G86</f>
        <v>8.5</v>
      </c>
      <c r="G148" s="14">
        <f>'пр. 4 Вед'!H86</f>
        <v>8.5</v>
      </c>
      <c r="H148" s="14">
        <f t="shared" si="14"/>
        <v>0</v>
      </c>
      <c r="I148" s="77">
        <f t="shared" si="15"/>
        <v>100</v>
      </c>
      <c r="L148" s="192"/>
      <c r="M148" s="192"/>
      <c r="N148" s="192"/>
      <c r="O148" s="192"/>
      <c r="P148" s="192"/>
      <c r="Q148" s="192"/>
    </row>
    <row r="149" spans="1:17" s="27" customFormat="1" ht="25.5">
      <c r="A149" s="46" t="s">
        <v>369</v>
      </c>
      <c r="B149" s="13" t="s">
        <v>66</v>
      </c>
      <c r="C149" s="13" t="s">
        <v>89</v>
      </c>
      <c r="D149" s="45" t="s">
        <v>370</v>
      </c>
      <c r="E149" s="29"/>
      <c r="F149" s="14">
        <f>F150</f>
        <v>20000</v>
      </c>
      <c r="G149" s="14">
        <f>G150</f>
        <v>19943.8</v>
      </c>
      <c r="H149" s="14">
        <f t="shared" si="14"/>
        <v>56.20000000000073</v>
      </c>
      <c r="I149" s="77">
        <f t="shared" si="15"/>
        <v>99.719</v>
      </c>
      <c r="L149" s="192"/>
      <c r="M149" s="192"/>
      <c r="N149" s="192"/>
      <c r="O149" s="192"/>
      <c r="P149" s="192"/>
      <c r="Q149" s="192"/>
    </row>
    <row r="150" spans="1:17" s="27" customFormat="1" ht="33.75" customHeight="1">
      <c r="A150" s="46" t="s">
        <v>577</v>
      </c>
      <c r="B150" s="13" t="s">
        <v>66</v>
      </c>
      <c r="C150" s="13" t="s">
        <v>89</v>
      </c>
      <c r="D150" s="45" t="s">
        <v>442</v>
      </c>
      <c r="E150" s="29"/>
      <c r="F150" s="14">
        <f>F151+F155</f>
        <v>20000</v>
      </c>
      <c r="G150" s="14">
        <f>G151+G155</f>
        <v>19943.8</v>
      </c>
      <c r="H150" s="14">
        <f t="shared" si="14"/>
        <v>56.20000000000073</v>
      </c>
      <c r="I150" s="77">
        <f t="shared" si="15"/>
        <v>99.719</v>
      </c>
      <c r="L150" s="192"/>
      <c r="M150" s="192"/>
      <c r="N150" s="192"/>
      <c r="O150" s="192"/>
      <c r="P150" s="192"/>
      <c r="Q150" s="192"/>
    </row>
    <row r="151" spans="1:17" s="27" customFormat="1" ht="38.25">
      <c r="A151" s="46" t="s">
        <v>271</v>
      </c>
      <c r="B151" s="13" t="s">
        <v>66</v>
      </c>
      <c r="C151" s="13" t="s">
        <v>89</v>
      </c>
      <c r="D151" s="45" t="s">
        <v>443</v>
      </c>
      <c r="E151" s="29"/>
      <c r="F151" s="14">
        <f aca="true" t="shared" si="17" ref="F151:G153">F152</f>
        <v>75.3</v>
      </c>
      <c r="G151" s="14">
        <f t="shared" si="17"/>
        <v>75.3</v>
      </c>
      <c r="H151" s="14">
        <f t="shared" si="14"/>
        <v>0</v>
      </c>
      <c r="I151" s="77">
        <f t="shared" si="15"/>
        <v>100</v>
      </c>
      <c r="L151" s="192"/>
      <c r="M151" s="192"/>
      <c r="N151" s="192"/>
      <c r="O151" s="192"/>
      <c r="P151" s="192"/>
      <c r="Q151" s="192"/>
    </row>
    <row r="152" spans="1:17" s="27" customFormat="1" ht="38.25">
      <c r="A152" s="46" t="s">
        <v>110</v>
      </c>
      <c r="B152" s="13" t="s">
        <v>66</v>
      </c>
      <c r="C152" s="13" t="s">
        <v>89</v>
      </c>
      <c r="D152" s="45" t="s">
        <v>443</v>
      </c>
      <c r="E152" s="13" t="s">
        <v>111</v>
      </c>
      <c r="F152" s="14">
        <f>F153</f>
        <v>75.3</v>
      </c>
      <c r="G152" s="14">
        <f t="shared" si="17"/>
        <v>75.3</v>
      </c>
      <c r="H152" s="14">
        <f t="shared" si="14"/>
        <v>0</v>
      </c>
      <c r="I152" s="77">
        <f t="shared" si="15"/>
        <v>100</v>
      </c>
      <c r="L152" s="192"/>
      <c r="M152" s="192"/>
      <c r="N152" s="192"/>
      <c r="O152" s="192"/>
      <c r="P152" s="192"/>
      <c r="Q152" s="192"/>
    </row>
    <row r="153" spans="1:17" s="27" customFormat="1" ht="12.75">
      <c r="A153" s="46" t="s">
        <v>406</v>
      </c>
      <c r="B153" s="13" t="s">
        <v>66</v>
      </c>
      <c r="C153" s="13" t="s">
        <v>89</v>
      </c>
      <c r="D153" s="45" t="s">
        <v>443</v>
      </c>
      <c r="E153" s="13" t="s">
        <v>408</v>
      </c>
      <c r="F153" s="14">
        <f>F154</f>
        <v>75.3</v>
      </c>
      <c r="G153" s="14">
        <f t="shared" si="17"/>
        <v>75.3</v>
      </c>
      <c r="H153" s="14">
        <f t="shared" si="14"/>
        <v>0</v>
      </c>
      <c r="I153" s="77">
        <f t="shared" si="15"/>
        <v>100</v>
      </c>
      <c r="L153" s="192"/>
      <c r="M153" s="192"/>
      <c r="N153" s="192"/>
      <c r="O153" s="192"/>
      <c r="P153" s="192"/>
      <c r="Q153" s="192"/>
    </row>
    <row r="154" spans="1:17" s="27" customFormat="1" ht="12.75">
      <c r="A154" s="46" t="s">
        <v>574</v>
      </c>
      <c r="B154" s="13" t="s">
        <v>66</v>
      </c>
      <c r="C154" s="13" t="s">
        <v>89</v>
      </c>
      <c r="D154" s="45" t="s">
        <v>443</v>
      </c>
      <c r="E154" s="13" t="s">
        <v>407</v>
      </c>
      <c r="F154" s="14">
        <f>'пр. 4 Вед'!G409</f>
        <v>75.3</v>
      </c>
      <c r="G154" s="14">
        <f>'пр. 4 Вед'!H409</f>
        <v>75.3</v>
      </c>
      <c r="H154" s="14">
        <f t="shared" si="14"/>
        <v>0</v>
      </c>
      <c r="I154" s="77">
        <f t="shared" si="15"/>
        <v>100</v>
      </c>
      <c r="L154" s="192"/>
      <c r="M154" s="192"/>
      <c r="N154" s="192"/>
      <c r="O154" s="192"/>
      <c r="P154" s="192"/>
      <c r="Q154" s="192"/>
    </row>
    <row r="155" spans="1:17" s="27" customFormat="1" ht="12.75">
      <c r="A155" s="46" t="s">
        <v>288</v>
      </c>
      <c r="B155" s="13" t="s">
        <v>66</v>
      </c>
      <c r="C155" s="13" t="s">
        <v>89</v>
      </c>
      <c r="D155" s="45" t="s">
        <v>444</v>
      </c>
      <c r="E155" s="29"/>
      <c r="F155" s="14">
        <f>F156+F161+F164</f>
        <v>19924.7</v>
      </c>
      <c r="G155" s="14">
        <f>G156+G161+G164</f>
        <v>19868.5</v>
      </c>
      <c r="H155" s="14">
        <f t="shared" si="14"/>
        <v>56.20000000000073</v>
      </c>
      <c r="I155" s="77">
        <f t="shared" si="15"/>
        <v>99.7179380367082</v>
      </c>
      <c r="L155" s="192"/>
      <c r="M155" s="192"/>
      <c r="N155" s="192"/>
      <c r="O155" s="192"/>
      <c r="P155" s="192"/>
      <c r="Q155" s="192"/>
    </row>
    <row r="156" spans="1:17" s="27" customFormat="1" ht="38.25">
      <c r="A156" s="46" t="s">
        <v>110</v>
      </c>
      <c r="B156" s="13" t="s">
        <v>66</v>
      </c>
      <c r="C156" s="13" t="s">
        <v>89</v>
      </c>
      <c r="D156" s="45" t="s">
        <v>444</v>
      </c>
      <c r="E156" s="13" t="s">
        <v>111</v>
      </c>
      <c r="F156" s="14">
        <f>F157</f>
        <v>15173.5</v>
      </c>
      <c r="G156" s="14">
        <f>G157</f>
        <v>15139.7</v>
      </c>
      <c r="H156" s="14">
        <f t="shared" si="14"/>
        <v>33.79999999999927</v>
      </c>
      <c r="I156" s="77">
        <f t="shared" si="15"/>
        <v>99.77724322008766</v>
      </c>
      <c r="L156" s="192"/>
      <c r="M156" s="192"/>
      <c r="N156" s="192"/>
      <c r="O156" s="192"/>
      <c r="P156" s="192"/>
      <c r="Q156" s="192"/>
    </row>
    <row r="157" spans="1:17" s="27" customFormat="1" ht="12.75">
      <c r="A157" s="46" t="s">
        <v>406</v>
      </c>
      <c r="B157" s="13" t="s">
        <v>66</v>
      </c>
      <c r="C157" s="13" t="s">
        <v>89</v>
      </c>
      <c r="D157" s="45" t="s">
        <v>444</v>
      </c>
      <c r="E157" s="13" t="s">
        <v>408</v>
      </c>
      <c r="F157" s="14">
        <f>F158+F159+F160</f>
        <v>15173.5</v>
      </c>
      <c r="G157" s="14">
        <f>G158+G159+G160</f>
        <v>15139.7</v>
      </c>
      <c r="H157" s="14">
        <f t="shared" si="14"/>
        <v>33.79999999999927</v>
      </c>
      <c r="I157" s="77">
        <f t="shared" si="15"/>
        <v>99.77724322008766</v>
      </c>
      <c r="L157" s="192"/>
      <c r="M157" s="192"/>
      <c r="N157" s="192"/>
      <c r="O157" s="192"/>
      <c r="P157" s="192"/>
      <c r="Q157" s="192"/>
    </row>
    <row r="158" spans="1:17" s="27" customFormat="1" ht="12.75">
      <c r="A158" s="46" t="s">
        <v>573</v>
      </c>
      <c r="B158" s="13" t="s">
        <v>66</v>
      </c>
      <c r="C158" s="13" t="s">
        <v>89</v>
      </c>
      <c r="D158" s="45" t="s">
        <v>444</v>
      </c>
      <c r="E158" s="13" t="s">
        <v>409</v>
      </c>
      <c r="F158" s="14">
        <f>'пр. 4 Вед'!G413</f>
        <v>11650</v>
      </c>
      <c r="G158" s="14">
        <f>'пр. 4 Вед'!H413</f>
        <v>11637.6</v>
      </c>
      <c r="H158" s="14">
        <f t="shared" si="14"/>
        <v>12.399999999999636</v>
      </c>
      <c r="I158" s="77">
        <f t="shared" si="15"/>
        <v>99.89356223175966</v>
      </c>
      <c r="L158" s="192"/>
      <c r="M158" s="192"/>
      <c r="N158" s="192"/>
      <c r="O158" s="192"/>
      <c r="P158" s="192"/>
      <c r="Q158" s="192"/>
    </row>
    <row r="159" spans="1:17" s="27" customFormat="1" ht="12.75">
      <c r="A159" s="46" t="s">
        <v>574</v>
      </c>
      <c r="B159" s="13" t="s">
        <v>66</v>
      </c>
      <c r="C159" s="13" t="s">
        <v>89</v>
      </c>
      <c r="D159" s="45" t="s">
        <v>444</v>
      </c>
      <c r="E159" s="13" t="s">
        <v>407</v>
      </c>
      <c r="F159" s="14">
        <f>'пр. 4 Вед'!G414</f>
        <v>83.5</v>
      </c>
      <c r="G159" s="14">
        <f>'пр. 4 Вед'!H414</f>
        <v>83.5</v>
      </c>
      <c r="H159" s="14">
        <f t="shared" si="14"/>
        <v>0</v>
      </c>
      <c r="I159" s="77">
        <f t="shared" si="15"/>
        <v>100</v>
      </c>
      <c r="L159" s="192"/>
      <c r="M159" s="192"/>
      <c r="N159" s="192"/>
      <c r="O159" s="192"/>
      <c r="P159" s="192"/>
      <c r="Q159" s="192"/>
    </row>
    <row r="160" spans="1:17" s="27" customFormat="1" ht="25.5">
      <c r="A160" s="46" t="s">
        <v>576</v>
      </c>
      <c r="B160" s="13" t="s">
        <v>66</v>
      </c>
      <c r="C160" s="13" t="s">
        <v>89</v>
      </c>
      <c r="D160" s="45" t="s">
        <v>444</v>
      </c>
      <c r="E160" s="13" t="s">
        <v>410</v>
      </c>
      <c r="F160" s="14">
        <f>'пр. 4 Вед'!G415</f>
        <v>3440.0000000000005</v>
      </c>
      <c r="G160" s="14">
        <f>'пр. 4 Вед'!H415</f>
        <v>3418.6</v>
      </c>
      <c r="H160" s="14">
        <f t="shared" si="14"/>
        <v>21.400000000000546</v>
      </c>
      <c r="I160" s="77">
        <f t="shared" si="15"/>
        <v>99.37790697674417</v>
      </c>
      <c r="L160" s="192"/>
      <c r="M160" s="192"/>
      <c r="N160" s="192"/>
      <c r="O160" s="192"/>
      <c r="P160" s="192"/>
      <c r="Q160" s="192"/>
    </row>
    <row r="161" spans="1:17" s="27" customFormat="1" ht="12.75">
      <c r="A161" s="46" t="s">
        <v>770</v>
      </c>
      <c r="B161" s="13" t="s">
        <v>66</v>
      </c>
      <c r="C161" s="13" t="s">
        <v>89</v>
      </c>
      <c r="D161" s="45" t="s">
        <v>444</v>
      </c>
      <c r="E161" s="13" t="s">
        <v>113</v>
      </c>
      <c r="F161" s="14">
        <f>F162</f>
        <v>4699.7</v>
      </c>
      <c r="G161" s="14">
        <f>G162</f>
        <v>4677.3</v>
      </c>
      <c r="H161" s="14">
        <f t="shared" si="14"/>
        <v>22.399999999999636</v>
      </c>
      <c r="I161" s="77">
        <f t="shared" si="15"/>
        <v>99.52337383237229</v>
      </c>
      <c r="L161" s="192"/>
      <c r="M161" s="192"/>
      <c r="N161" s="192"/>
      <c r="O161" s="192"/>
      <c r="P161" s="192"/>
      <c r="Q161" s="192"/>
    </row>
    <row r="162" spans="1:17" s="27" customFormat="1" ht="18" customHeight="1">
      <c r="A162" s="46" t="s">
        <v>106</v>
      </c>
      <c r="B162" s="13" t="s">
        <v>66</v>
      </c>
      <c r="C162" s="13" t="s">
        <v>89</v>
      </c>
      <c r="D162" s="45" t="s">
        <v>444</v>
      </c>
      <c r="E162" s="13" t="s">
        <v>107</v>
      </c>
      <c r="F162" s="14">
        <f>F163</f>
        <v>4699.7</v>
      </c>
      <c r="G162" s="14">
        <f>G163</f>
        <v>4677.3</v>
      </c>
      <c r="H162" s="14">
        <f t="shared" si="14"/>
        <v>22.399999999999636</v>
      </c>
      <c r="I162" s="77">
        <f t="shared" si="15"/>
        <v>99.52337383237229</v>
      </c>
      <c r="L162" s="192"/>
      <c r="M162" s="192"/>
      <c r="N162" s="192"/>
      <c r="O162" s="192"/>
      <c r="P162" s="192"/>
      <c r="Q162" s="192"/>
    </row>
    <row r="163" spans="1:17" s="27" customFormat="1" ht="18.75" customHeight="1">
      <c r="A163" s="46" t="s">
        <v>108</v>
      </c>
      <c r="B163" s="13" t="s">
        <v>66</v>
      </c>
      <c r="C163" s="13" t="s">
        <v>89</v>
      </c>
      <c r="D163" s="45" t="s">
        <v>444</v>
      </c>
      <c r="E163" s="13" t="s">
        <v>109</v>
      </c>
      <c r="F163" s="14">
        <f>'пр. 4 Вед'!G418</f>
        <v>4699.7</v>
      </c>
      <c r="G163" s="14">
        <f>'пр. 4 Вед'!H418</f>
        <v>4677.3</v>
      </c>
      <c r="H163" s="14">
        <f t="shared" si="14"/>
        <v>22.399999999999636</v>
      </c>
      <c r="I163" s="77">
        <f t="shared" si="15"/>
        <v>99.52337383237229</v>
      </c>
      <c r="L163" s="192"/>
      <c r="M163" s="192"/>
      <c r="N163" s="192"/>
      <c r="O163" s="192"/>
      <c r="P163" s="192"/>
      <c r="Q163" s="192"/>
    </row>
    <row r="164" spans="1:17" s="27" customFormat="1" ht="12.75">
      <c r="A164" s="46" t="s">
        <v>137</v>
      </c>
      <c r="B164" s="13" t="s">
        <v>66</v>
      </c>
      <c r="C164" s="13" t="s">
        <v>89</v>
      </c>
      <c r="D164" s="45" t="s">
        <v>444</v>
      </c>
      <c r="E164" s="13" t="s">
        <v>138</v>
      </c>
      <c r="F164" s="14">
        <f>F165</f>
        <v>51.5</v>
      </c>
      <c r="G164" s="14">
        <f>G165</f>
        <v>51.5</v>
      </c>
      <c r="H164" s="14">
        <f t="shared" si="14"/>
        <v>0</v>
      </c>
      <c r="I164" s="77">
        <f t="shared" si="15"/>
        <v>100</v>
      </c>
      <c r="L164" s="192"/>
      <c r="M164" s="192"/>
      <c r="N164" s="192"/>
      <c r="O164" s="192"/>
      <c r="P164" s="192"/>
      <c r="Q164" s="192"/>
    </row>
    <row r="165" spans="1:17" s="27" customFormat="1" ht="12.75">
      <c r="A165" s="46" t="s">
        <v>140</v>
      </c>
      <c r="B165" s="13" t="s">
        <v>66</v>
      </c>
      <c r="C165" s="13" t="s">
        <v>89</v>
      </c>
      <c r="D165" s="45" t="s">
        <v>444</v>
      </c>
      <c r="E165" s="13" t="s">
        <v>141</v>
      </c>
      <c r="F165" s="14">
        <f>F167+F168+F166</f>
        <v>51.5</v>
      </c>
      <c r="G165" s="14">
        <f>G167+G168+G166</f>
        <v>51.5</v>
      </c>
      <c r="H165" s="14">
        <f t="shared" si="14"/>
        <v>0</v>
      </c>
      <c r="I165" s="77">
        <f t="shared" si="15"/>
        <v>100</v>
      </c>
      <c r="L165" s="192"/>
      <c r="M165" s="192"/>
      <c r="N165" s="192"/>
      <c r="O165" s="192"/>
      <c r="P165" s="192"/>
      <c r="Q165" s="192"/>
    </row>
    <row r="166" spans="1:17" s="27" customFormat="1" ht="12.75">
      <c r="A166" s="9" t="s">
        <v>142</v>
      </c>
      <c r="B166" s="13" t="s">
        <v>66</v>
      </c>
      <c r="C166" s="13" t="s">
        <v>89</v>
      </c>
      <c r="D166" s="45" t="s">
        <v>444</v>
      </c>
      <c r="E166" s="13" t="s">
        <v>143</v>
      </c>
      <c r="F166" s="14">
        <f>'пр. 4 Вед'!G421</f>
        <v>33.7</v>
      </c>
      <c r="G166" s="14">
        <f>'пр. 4 Вед'!H421</f>
        <v>33.7</v>
      </c>
      <c r="H166" s="14">
        <f t="shared" si="14"/>
        <v>0</v>
      </c>
      <c r="I166" s="77">
        <f t="shared" si="15"/>
        <v>100</v>
      </c>
      <c r="L166" s="192"/>
      <c r="M166" s="192"/>
      <c r="N166" s="192"/>
      <c r="O166" s="192"/>
      <c r="P166" s="192"/>
      <c r="Q166" s="192"/>
    </row>
    <row r="167" spans="1:17" s="27" customFormat="1" ht="12.75">
      <c r="A167" s="46" t="s">
        <v>179</v>
      </c>
      <c r="B167" s="13" t="s">
        <v>66</v>
      </c>
      <c r="C167" s="13" t="s">
        <v>89</v>
      </c>
      <c r="D167" s="45" t="s">
        <v>444</v>
      </c>
      <c r="E167" s="13" t="s">
        <v>144</v>
      </c>
      <c r="F167" s="14">
        <f>'пр. 4 Вед'!G422</f>
        <v>16.799999999999997</v>
      </c>
      <c r="G167" s="14">
        <f>'пр. 4 Вед'!H422</f>
        <v>16.8</v>
      </c>
      <c r="H167" s="14">
        <f t="shared" si="14"/>
        <v>0</v>
      </c>
      <c r="I167" s="77">
        <f t="shared" si="15"/>
        <v>100.00000000000003</v>
      </c>
      <c r="L167" s="192"/>
      <c r="M167" s="192"/>
      <c r="N167" s="192"/>
      <c r="O167" s="192"/>
      <c r="P167" s="192"/>
      <c r="Q167" s="192"/>
    </row>
    <row r="168" spans="1:17" s="27" customFormat="1" ht="12.75">
      <c r="A168" s="46" t="s">
        <v>180</v>
      </c>
      <c r="B168" s="13" t="s">
        <v>66</v>
      </c>
      <c r="C168" s="13" t="s">
        <v>89</v>
      </c>
      <c r="D168" s="45" t="s">
        <v>444</v>
      </c>
      <c r="E168" s="13" t="s">
        <v>181</v>
      </c>
      <c r="F168" s="14">
        <f>'пр. 4 Вед'!G423</f>
        <v>1</v>
      </c>
      <c r="G168" s="14">
        <f>'пр. 4 Вед'!H423</f>
        <v>1</v>
      </c>
      <c r="H168" s="14">
        <f t="shared" si="14"/>
        <v>0</v>
      </c>
      <c r="I168" s="77">
        <f t="shared" si="15"/>
        <v>100</v>
      </c>
      <c r="L168" s="192"/>
      <c r="M168" s="192"/>
      <c r="N168" s="192"/>
      <c r="O168" s="192"/>
      <c r="P168" s="192"/>
      <c r="Q168" s="192"/>
    </row>
    <row r="169" spans="1:17" s="27" customFormat="1" ht="25.5">
      <c r="A169" s="9" t="s">
        <v>663</v>
      </c>
      <c r="B169" s="13" t="s">
        <v>66</v>
      </c>
      <c r="C169" s="13" t="s">
        <v>89</v>
      </c>
      <c r="D169" s="45" t="s">
        <v>621</v>
      </c>
      <c r="E169" s="70"/>
      <c r="F169" s="14">
        <f>F170</f>
        <v>82.5</v>
      </c>
      <c r="G169" s="14">
        <f>G170</f>
        <v>77.5</v>
      </c>
      <c r="H169" s="14">
        <f t="shared" si="14"/>
        <v>5</v>
      </c>
      <c r="I169" s="77">
        <f t="shared" si="15"/>
        <v>93.93939393939394</v>
      </c>
      <c r="L169" s="192"/>
      <c r="M169" s="192"/>
      <c r="N169" s="192"/>
      <c r="O169" s="192"/>
      <c r="P169" s="192"/>
      <c r="Q169" s="192"/>
    </row>
    <row r="170" spans="1:17" s="27" customFormat="1" ht="25.5">
      <c r="A170" s="9" t="s">
        <v>620</v>
      </c>
      <c r="B170" s="13" t="s">
        <v>66</v>
      </c>
      <c r="C170" s="13" t="s">
        <v>89</v>
      </c>
      <c r="D170" s="45" t="s">
        <v>622</v>
      </c>
      <c r="E170" s="70"/>
      <c r="F170" s="14">
        <f>F171+F175+F179</f>
        <v>82.5</v>
      </c>
      <c r="G170" s="14">
        <f>G171+G175+G179</f>
        <v>77.5</v>
      </c>
      <c r="H170" s="14">
        <f t="shared" si="14"/>
        <v>5</v>
      </c>
      <c r="I170" s="77">
        <f t="shared" si="15"/>
        <v>93.93939393939394</v>
      </c>
      <c r="L170" s="192"/>
      <c r="M170" s="192"/>
      <c r="N170" s="192"/>
      <c r="O170" s="192"/>
      <c r="P170" s="192"/>
      <c r="Q170" s="192"/>
    </row>
    <row r="171" spans="1:17" s="27" customFormat="1" ht="25.5">
      <c r="A171" s="9" t="s">
        <v>671</v>
      </c>
      <c r="B171" s="13" t="s">
        <v>66</v>
      </c>
      <c r="C171" s="13" t="s">
        <v>89</v>
      </c>
      <c r="D171" s="45" t="s">
        <v>672</v>
      </c>
      <c r="E171" s="70"/>
      <c r="F171" s="14">
        <f aca="true" t="shared" si="18" ref="F171:G173">F172</f>
        <v>34.5</v>
      </c>
      <c r="G171" s="14">
        <f t="shared" si="18"/>
        <v>34.5</v>
      </c>
      <c r="H171" s="14">
        <f t="shared" si="14"/>
        <v>0</v>
      </c>
      <c r="I171" s="77">
        <f t="shared" si="15"/>
        <v>100</v>
      </c>
      <c r="L171" s="192"/>
      <c r="M171" s="192"/>
      <c r="N171" s="192"/>
      <c r="O171" s="192"/>
      <c r="P171" s="192"/>
      <c r="Q171" s="192"/>
    </row>
    <row r="172" spans="1:17" s="27" customFormat="1" ht="12.75">
      <c r="A172" s="46" t="s">
        <v>770</v>
      </c>
      <c r="B172" s="13" t="s">
        <v>66</v>
      </c>
      <c r="C172" s="13" t="s">
        <v>89</v>
      </c>
      <c r="D172" s="45" t="s">
        <v>672</v>
      </c>
      <c r="E172" s="70" t="s">
        <v>113</v>
      </c>
      <c r="F172" s="14">
        <f t="shared" si="18"/>
        <v>34.5</v>
      </c>
      <c r="G172" s="14">
        <f t="shared" si="18"/>
        <v>34.5</v>
      </c>
      <c r="H172" s="14">
        <f t="shared" si="14"/>
        <v>0</v>
      </c>
      <c r="I172" s="77">
        <f t="shared" si="15"/>
        <v>100</v>
      </c>
      <c r="L172" s="192"/>
      <c r="M172" s="192"/>
      <c r="N172" s="192"/>
      <c r="O172" s="192"/>
      <c r="P172" s="192"/>
      <c r="Q172" s="192"/>
    </row>
    <row r="173" spans="1:17" s="27" customFormat="1" ht="18.75" customHeight="1">
      <c r="A173" s="9" t="s">
        <v>106</v>
      </c>
      <c r="B173" s="13" t="s">
        <v>66</v>
      </c>
      <c r="C173" s="13" t="s">
        <v>89</v>
      </c>
      <c r="D173" s="45" t="s">
        <v>672</v>
      </c>
      <c r="E173" s="70" t="s">
        <v>107</v>
      </c>
      <c r="F173" s="14">
        <f t="shared" si="18"/>
        <v>34.5</v>
      </c>
      <c r="G173" s="14">
        <f t="shared" si="18"/>
        <v>34.5</v>
      </c>
      <c r="H173" s="14">
        <f t="shared" si="14"/>
        <v>0</v>
      </c>
      <c r="I173" s="77">
        <f t="shared" si="15"/>
        <v>100</v>
      </c>
      <c r="L173" s="192"/>
      <c r="M173" s="192"/>
      <c r="N173" s="192"/>
      <c r="O173" s="192"/>
      <c r="P173" s="192"/>
      <c r="Q173" s="192"/>
    </row>
    <row r="174" spans="1:17" s="27" customFormat="1" ht="18" customHeight="1">
      <c r="A174" s="9" t="s">
        <v>108</v>
      </c>
      <c r="B174" s="13" t="s">
        <v>66</v>
      </c>
      <c r="C174" s="13" t="s">
        <v>89</v>
      </c>
      <c r="D174" s="45" t="s">
        <v>672</v>
      </c>
      <c r="E174" s="70" t="s">
        <v>109</v>
      </c>
      <c r="F174" s="14">
        <f>'пр. 4 Вед'!G92</f>
        <v>34.5</v>
      </c>
      <c r="G174" s="14">
        <f>'пр. 4 Вед'!H92</f>
        <v>34.5</v>
      </c>
      <c r="H174" s="14">
        <f t="shared" si="14"/>
        <v>0</v>
      </c>
      <c r="I174" s="77">
        <f t="shared" si="15"/>
        <v>100</v>
      </c>
      <c r="L174" s="192"/>
      <c r="M174" s="192"/>
      <c r="N174" s="192"/>
      <c r="O174" s="192"/>
      <c r="P174" s="192"/>
      <c r="Q174" s="192"/>
    </row>
    <row r="175" spans="1:17" s="27" customFormat="1" ht="30.75" customHeight="1">
      <c r="A175" s="9" t="s">
        <v>652</v>
      </c>
      <c r="B175" s="13" t="s">
        <v>66</v>
      </c>
      <c r="C175" s="13" t="s">
        <v>89</v>
      </c>
      <c r="D175" s="45" t="s">
        <v>664</v>
      </c>
      <c r="E175" s="70"/>
      <c r="F175" s="14">
        <f aca="true" t="shared" si="19" ref="F175:G177">F176</f>
        <v>10</v>
      </c>
      <c r="G175" s="14">
        <f t="shared" si="19"/>
        <v>5</v>
      </c>
      <c r="H175" s="14">
        <f t="shared" si="14"/>
        <v>5</v>
      </c>
      <c r="I175" s="77">
        <f t="shared" si="15"/>
        <v>50</v>
      </c>
      <c r="L175" s="192"/>
      <c r="M175" s="192"/>
      <c r="N175" s="192"/>
      <c r="O175" s="192"/>
      <c r="P175" s="192"/>
      <c r="Q175" s="192"/>
    </row>
    <row r="176" spans="1:17" s="27" customFormat="1" ht="16.5" customHeight="1">
      <c r="A176" s="46" t="s">
        <v>770</v>
      </c>
      <c r="B176" s="13" t="s">
        <v>66</v>
      </c>
      <c r="C176" s="13" t="s">
        <v>89</v>
      </c>
      <c r="D176" s="45" t="s">
        <v>664</v>
      </c>
      <c r="E176" s="70" t="s">
        <v>113</v>
      </c>
      <c r="F176" s="14">
        <f t="shared" si="19"/>
        <v>10</v>
      </c>
      <c r="G176" s="14">
        <f t="shared" si="19"/>
        <v>5</v>
      </c>
      <c r="H176" s="14">
        <f t="shared" si="14"/>
        <v>5</v>
      </c>
      <c r="I176" s="77">
        <f t="shared" si="15"/>
        <v>50</v>
      </c>
      <c r="L176" s="192"/>
      <c r="M176" s="192"/>
      <c r="N176" s="192"/>
      <c r="O176" s="192"/>
      <c r="P176" s="192"/>
      <c r="Q176" s="192"/>
    </row>
    <row r="177" spans="1:17" s="27" customFormat="1" ht="24" customHeight="1">
      <c r="A177" s="9" t="s">
        <v>106</v>
      </c>
      <c r="B177" s="13" t="s">
        <v>66</v>
      </c>
      <c r="C177" s="13" t="s">
        <v>89</v>
      </c>
      <c r="D177" s="45" t="s">
        <v>664</v>
      </c>
      <c r="E177" s="70" t="s">
        <v>107</v>
      </c>
      <c r="F177" s="14">
        <f t="shared" si="19"/>
        <v>10</v>
      </c>
      <c r="G177" s="14">
        <f t="shared" si="19"/>
        <v>5</v>
      </c>
      <c r="H177" s="14">
        <f t="shared" si="14"/>
        <v>5</v>
      </c>
      <c r="I177" s="77">
        <f t="shared" si="15"/>
        <v>50</v>
      </c>
      <c r="L177" s="192"/>
      <c r="M177" s="192"/>
      <c r="N177" s="192"/>
      <c r="O177" s="192"/>
      <c r="P177" s="192"/>
      <c r="Q177" s="192"/>
    </row>
    <row r="178" spans="1:17" s="27" customFormat="1" ht="27" customHeight="1">
      <c r="A178" s="9" t="s">
        <v>108</v>
      </c>
      <c r="B178" s="13" t="s">
        <v>66</v>
      </c>
      <c r="C178" s="13" t="s">
        <v>89</v>
      </c>
      <c r="D178" s="45" t="s">
        <v>664</v>
      </c>
      <c r="E178" s="70" t="s">
        <v>109</v>
      </c>
      <c r="F178" s="14">
        <f>'пр. 4 Вед'!G96</f>
        <v>10</v>
      </c>
      <c r="G178" s="14">
        <f>'пр. 4 Вед'!H96</f>
        <v>5</v>
      </c>
      <c r="H178" s="14">
        <f t="shared" si="14"/>
        <v>5</v>
      </c>
      <c r="I178" s="77">
        <f t="shared" si="15"/>
        <v>50</v>
      </c>
      <c r="L178" s="192"/>
      <c r="M178" s="192"/>
      <c r="N178" s="192"/>
      <c r="O178" s="192"/>
      <c r="P178" s="192"/>
      <c r="Q178" s="192"/>
    </row>
    <row r="179" spans="1:17" s="27" customFormat="1" ht="16.5" customHeight="1">
      <c r="A179" s="9" t="s">
        <v>724</v>
      </c>
      <c r="B179" s="13" t="s">
        <v>66</v>
      </c>
      <c r="C179" s="13" t="s">
        <v>89</v>
      </c>
      <c r="D179" s="45" t="s">
        <v>709</v>
      </c>
      <c r="E179" s="70"/>
      <c r="F179" s="14">
        <f aca="true" t="shared" si="20" ref="F179:G181">F180</f>
        <v>38</v>
      </c>
      <c r="G179" s="14">
        <f t="shared" si="20"/>
        <v>38</v>
      </c>
      <c r="H179" s="14">
        <f t="shared" si="14"/>
        <v>0</v>
      </c>
      <c r="I179" s="77">
        <f t="shared" si="15"/>
        <v>100</v>
      </c>
      <c r="L179" s="192"/>
      <c r="M179" s="192"/>
      <c r="N179" s="192"/>
      <c r="O179" s="192"/>
      <c r="P179" s="192"/>
      <c r="Q179" s="192"/>
    </row>
    <row r="180" spans="1:17" s="27" customFormat="1" ht="16.5" customHeight="1">
      <c r="A180" s="46" t="s">
        <v>770</v>
      </c>
      <c r="B180" s="13" t="s">
        <v>66</v>
      </c>
      <c r="C180" s="13" t="s">
        <v>89</v>
      </c>
      <c r="D180" s="45" t="s">
        <v>709</v>
      </c>
      <c r="E180" s="70" t="s">
        <v>113</v>
      </c>
      <c r="F180" s="14">
        <f t="shared" si="20"/>
        <v>38</v>
      </c>
      <c r="G180" s="14">
        <f t="shared" si="20"/>
        <v>38</v>
      </c>
      <c r="H180" s="14">
        <f t="shared" si="14"/>
        <v>0</v>
      </c>
      <c r="I180" s="77">
        <f t="shared" si="15"/>
        <v>100</v>
      </c>
      <c r="L180" s="192"/>
      <c r="M180" s="192"/>
      <c r="N180" s="192"/>
      <c r="O180" s="192"/>
      <c r="P180" s="192"/>
      <c r="Q180" s="192"/>
    </row>
    <row r="181" spans="1:17" s="27" customFormat="1" ht="24.75" customHeight="1">
      <c r="A181" s="9" t="s">
        <v>106</v>
      </c>
      <c r="B181" s="13" t="s">
        <v>66</v>
      </c>
      <c r="C181" s="13" t="s">
        <v>89</v>
      </c>
      <c r="D181" s="45" t="s">
        <v>709</v>
      </c>
      <c r="E181" s="70" t="s">
        <v>107</v>
      </c>
      <c r="F181" s="14">
        <f t="shared" si="20"/>
        <v>38</v>
      </c>
      <c r="G181" s="14">
        <f t="shared" si="20"/>
        <v>38</v>
      </c>
      <c r="H181" s="14">
        <f t="shared" si="14"/>
        <v>0</v>
      </c>
      <c r="I181" s="77">
        <f t="shared" si="15"/>
        <v>100</v>
      </c>
      <c r="L181" s="192"/>
      <c r="M181" s="192"/>
      <c r="N181" s="192"/>
      <c r="O181" s="192"/>
      <c r="P181" s="192"/>
      <c r="Q181" s="192"/>
    </row>
    <row r="182" spans="1:17" s="27" customFormat="1" ht="23.25" customHeight="1">
      <c r="A182" s="9" t="s">
        <v>108</v>
      </c>
      <c r="B182" s="13" t="s">
        <v>66</v>
      </c>
      <c r="C182" s="13" t="s">
        <v>89</v>
      </c>
      <c r="D182" s="45" t="s">
        <v>709</v>
      </c>
      <c r="E182" s="70" t="s">
        <v>109</v>
      </c>
      <c r="F182" s="14">
        <f>'пр. 4 Вед'!G100</f>
        <v>38</v>
      </c>
      <c r="G182" s="14">
        <f>'пр. 4 Вед'!H100</f>
        <v>38</v>
      </c>
      <c r="H182" s="14">
        <f t="shared" si="14"/>
        <v>0</v>
      </c>
      <c r="I182" s="77">
        <f t="shared" si="15"/>
        <v>100</v>
      </c>
      <c r="L182" s="192"/>
      <c r="M182" s="192"/>
      <c r="N182" s="192"/>
      <c r="O182" s="192"/>
      <c r="P182" s="192"/>
      <c r="Q182" s="192"/>
    </row>
    <row r="183" spans="1:17" s="27" customFormat="1" ht="12.75">
      <c r="A183" s="46" t="s">
        <v>503</v>
      </c>
      <c r="B183" s="13" t="s">
        <v>66</v>
      </c>
      <c r="C183" s="13" t="s">
        <v>89</v>
      </c>
      <c r="D183" s="13" t="s">
        <v>252</v>
      </c>
      <c r="E183" s="13"/>
      <c r="F183" s="14">
        <f aca="true" t="shared" si="21" ref="F183:G187">F184</f>
        <v>34</v>
      </c>
      <c r="G183" s="14">
        <f t="shared" si="21"/>
        <v>33.3</v>
      </c>
      <c r="H183" s="14">
        <f t="shared" si="14"/>
        <v>0.7000000000000028</v>
      </c>
      <c r="I183" s="77">
        <f t="shared" si="15"/>
        <v>97.94117647058823</v>
      </c>
      <c r="L183" s="192"/>
      <c r="M183" s="192"/>
      <c r="N183" s="192"/>
      <c r="O183" s="192"/>
      <c r="P183" s="192"/>
      <c r="Q183" s="192"/>
    </row>
    <row r="184" spans="1:17" s="27" customFormat="1" ht="12.75">
      <c r="A184" s="46" t="s">
        <v>504</v>
      </c>
      <c r="B184" s="13" t="s">
        <v>66</v>
      </c>
      <c r="C184" s="13" t="s">
        <v>89</v>
      </c>
      <c r="D184" s="13" t="s">
        <v>501</v>
      </c>
      <c r="E184" s="13"/>
      <c r="F184" s="14">
        <f t="shared" si="21"/>
        <v>34</v>
      </c>
      <c r="G184" s="14">
        <f t="shared" si="21"/>
        <v>33.3</v>
      </c>
      <c r="H184" s="14">
        <f t="shared" si="14"/>
        <v>0.7000000000000028</v>
      </c>
      <c r="I184" s="77">
        <f t="shared" si="15"/>
        <v>97.94117647058823</v>
      </c>
      <c r="L184" s="192"/>
      <c r="M184" s="192"/>
      <c r="N184" s="192"/>
      <c r="O184" s="192"/>
      <c r="P184" s="192"/>
      <c r="Q184" s="192"/>
    </row>
    <row r="185" spans="1:17" s="27" customFormat="1" ht="38.25">
      <c r="A185" s="46" t="s">
        <v>381</v>
      </c>
      <c r="B185" s="13" t="s">
        <v>66</v>
      </c>
      <c r="C185" s="13" t="s">
        <v>89</v>
      </c>
      <c r="D185" s="13" t="s">
        <v>502</v>
      </c>
      <c r="E185" s="13"/>
      <c r="F185" s="14">
        <f t="shared" si="21"/>
        <v>34</v>
      </c>
      <c r="G185" s="14">
        <f t="shared" si="21"/>
        <v>33.3</v>
      </c>
      <c r="H185" s="14">
        <f t="shared" si="14"/>
        <v>0.7000000000000028</v>
      </c>
      <c r="I185" s="77">
        <f t="shared" si="15"/>
        <v>97.94117647058823</v>
      </c>
      <c r="L185" s="192"/>
      <c r="M185" s="192"/>
      <c r="N185" s="192"/>
      <c r="O185" s="192"/>
      <c r="P185" s="192"/>
      <c r="Q185" s="192"/>
    </row>
    <row r="186" spans="1:17" s="27" customFormat="1" ht="38.25">
      <c r="A186" s="46" t="s">
        <v>110</v>
      </c>
      <c r="B186" s="13" t="s">
        <v>66</v>
      </c>
      <c r="C186" s="13" t="s">
        <v>89</v>
      </c>
      <c r="D186" s="13" t="s">
        <v>502</v>
      </c>
      <c r="E186" s="13" t="s">
        <v>111</v>
      </c>
      <c r="F186" s="14">
        <f t="shared" si="21"/>
        <v>34</v>
      </c>
      <c r="G186" s="14">
        <f t="shared" si="21"/>
        <v>33.3</v>
      </c>
      <c r="H186" s="14">
        <f t="shared" si="14"/>
        <v>0.7000000000000028</v>
      </c>
      <c r="I186" s="77">
        <f t="shared" si="15"/>
        <v>97.94117647058823</v>
      </c>
      <c r="L186" s="192"/>
      <c r="M186" s="192"/>
      <c r="N186" s="192"/>
      <c r="O186" s="192"/>
      <c r="P186" s="192"/>
      <c r="Q186" s="192"/>
    </row>
    <row r="187" spans="1:17" s="27" customFormat="1" ht="12.75">
      <c r="A187" s="46" t="s">
        <v>101</v>
      </c>
      <c r="B187" s="13" t="s">
        <v>66</v>
      </c>
      <c r="C187" s="13" t="s">
        <v>89</v>
      </c>
      <c r="D187" s="13" t="s">
        <v>502</v>
      </c>
      <c r="E187" s="13" t="s">
        <v>102</v>
      </c>
      <c r="F187" s="14">
        <f>F188</f>
        <v>34</v>
      </c>
      <c r="G187" s="14">
        <f t="shared" si="21"/>
        <v>33.3</v>
      </c>
      <c r="H187" s="14">
        <f t="shared" si="14"/>
        <v>0.7000000000000028</v>
      </c>
      <c r="I187" s="77">
        <f t="shared" si="15"/>
        <v>97.94117647058823</v>
      </c>
      <c r="L187" s="192"/>
      <c r="M187" s="192"/>
      <c r="N187" s="192"/>
      <c r="O187" s="192"/>
      <c r="P187" s="192"/>
      <c r="Q187" s="192"/>
    </row>
    <row r="188" spans="1:17" s="27" customFormat="1" ht="25.5">
      <c r="A188" s="46" t="s">
        <v>104</v>
      </c>
      <c r="B188" s="13" t="s">
        <v>66</v>
      </c>
      <c r="C188" s="13" t="s">
        <v>89</v>
      </c>
      <c r="D188" s="13" t="s">
        <v>502</v>
      </c>
      <c r="E188" s="13" t="s">
        <v>105</v>
      </c>
      <c r="F188" s="14">
        <f>'пр. 4 Вед'!G106</f>
        <v>34</v>
      </c>
      <c r="G188" s="14">
        <f>'пр. 4 Вед'!H106</f>
        <v>33.3</v>
      </c>
      <c r="H188" s="14">
        <f t="shared" si="14"/>
        <v>0.7000000000000028</v>
      </c>
      <c r="I188" s="77">
        <f t="shared" si="15"/>
        <v>97.94117647058823</v>
      </c>
      <c r="L188" s="192"/>
      <c r="M188" s="192"/>
      <c r="N188" s="192"/>
      <c r="O188" s="192"/>
      <c r="P188" s="192"/>
      <c r="Q188" s="192"/>
    </row>
    <row r="189" spans="1:17" s="27" customFormat="1" ht="25.5">
      <c r="A189" s="46" t="s">
        <v>241</v>
      </c>
      <c r="B189" s="13" t="s">
        <v>66</v>
      </c>
      <c r="C189" s="13" t="s">
        <v>89</v>
      </c>
      <c r="D189" s="13" t="s">
        <v>260</v>
      </c>
      <c r="E189" s="13"/>
      <c r="F189" s="14">
        <f>F190</f>
        <v>1996</v>
      </c>
      <c r="G189" s="14">
        <f>G190</f>
        <v>1735.3</v>
      </c>
      <c r="H189" s="14">
        <f t="shared" si="14"/>
        <v>260.70000000000005</v>
      </c>
      <c r="I189" s="77">
        <f t="shared" si="15"/>
        <v>86.93887775551103</v>
      </c>
      <c r="L189" s="192"/>
      <c r="M189" s="192"/>
      <c r="N189" s="192"/>
      <c r="O189" s="192"/>
      <c r="P189" s="192"/>
      <c r="Q189" s="192"/>
    </row>
    <row r="190" spans="1:17" s="27" customFormat="1" ht="25.5">
      <c r="A190" s="46" t="s">
        <v>289</v>
      </c>
      <c r="B190" s="13" t="s">
        <v>66</v>
      </c>
      <c r="C190" s="13" t="s">
        <v>89</v>
      </c>
      <c r="D190" s="13" t="s">
        <v>507</v>
      </c>
      <c r="E190" s="13"/>
      <c r="F190" s="14">
        <f>F195+F199+F191</f>
        <v>1996</v>
      </c>
      <c r="G190" s="14">
        <f>G195+G199+G191</f>
        <v>1735.3</v>
      </c>
      <c r="H190" s="14">
        <f t="shared" si="14"/>
        <v>260.70000000000005</v>
      </c>
      <c r="I190" s="77">
        <f t="shared" si="15"/>
        <v>86.93887775551103</v>
      </c>
      <c r="L190" s="192"/>
      <c r="M190" s="192"/>
      <c r="N190" s="192"/>
      <c r="O190" s="192"/>
      <c r="P190" s="192"/>
      <c r="Q190" s="192"/>
    </row>
    <row r="191" spans="1:17" s="27" customFormat="1" ht="12.75">
      <c r="A191" s="9" t="s">
        <v>625</v>
      </c>
      <c r="B191" s="13" t="s">
        <v>66</v>
      </c>
      <c r="C191" s="13" t="s">
        <v>89</v>
      </c>
      <c r="D191" s="13" t="s">
        <v>626</v>
      </c>
      <c r="E191" s="13"/>
      <c r="F191" s="14">
        <f aca="true" t="shared" si="22" ref="F191:G193">F192</f>
        <v>550</v>
      </c>
      <c r="G191" s="14">
        <f t="shared" si="22"/>
        <v>550</v>
      </c>
      <c r="H191" s="14">
        <f t="shared" si="14"/>
        <v>0</v>
      </c>
      <c r="I191" s="77">
        <f t="shared" si="15"/>
        <v>100</v>
      </c>
      <c r="L191" s="192"/>
      <c r="M191" s="192"/>
      <c r="N191" s="192"/>
      <c r="O191" s="192"/>
      <c r="P191" s="192"/>
      <c r="Q191" s="192"/>
    </row>
    <row r="192" spans="1:17" s="27" customFormat="1" ht="12.75">
      <c r="A192" s="46" t="s">
        <v>770</v>
      </c>
      <c r="B192" s="13" t="s">
        <v>66</v>
      </c>
      <c r="C192" s="13" t="s">
        <v>89</v>
      </c>
      <c r="D192" s="13" t="s">
        <v>626</v>
      </c>
      <c r="E192" s="13" t="s">
        <v>113</v>
      </c>
      <c r="F192" s="14">
        <f t="shared" si="22"/>
        <v>550</v>
      </c>
      <c r="G192" s="14">
        <f t="shared" si="22"/>
        <v>550</v>
      </c>
      <c r="H192" s="14">
        <f t="shared" si="14"/>
        <v>0</v>
      </c>
      <c r="I192" s="77">
        <f t="shared" si="15"/>
        <v>100</v>
      </c>
      <c r="L192" s="192"/>
      <c r="M192" s="192"/>
      <c r="N192" s="192"/>
      <c r="O192" s="192"/>
      <c r="P192" s="192"/>
      <c r="Q192" s="192"/>
    </row>
    <row r="193" spans="1:17" s="27" customFormat="1" ht="25.5">
      <c r="A193" s="9" t="s">
        <v>106</v>
      </c>
      <c r="B193" s="13" t="s">
        <v>66</v>
      </c>
      <c r="C193" s="13" t="s">
        <v>89</v>
      </c>
      <c r="D193" s="13" t="s">
        <v>626</v>
      </c>
      <c r="E193" s="13" t="s">
        <v>107</v>
      </c>
      <c r="F193" s="14">
        <f t="shared" si="22"/>
        <v>550</v>
      </c>
      <c r="G193" s="14">
        <f t="shared" si="22"/>
        <v>550</v>
      </c>
      <c r="H193" s="14">
        <f t="shared" si="14"/>
        <v>0</v>
      </c>
      <c r="I193" s="77">
        <f t="shared" si="15"/>
        <v>100</v>
      </c>
      <c r="L193" s="192"/>
      <c r="M193" s="192"/>
      <c r="N193" s="192"/>
      <c r="O193" s="192"/>
      <c r="P193" s="192"/>
      <c r="Q193" s="192"/>
    </row>
    <row r="194" spans="1:17" s="27" customFormat="1" ht="25.5">
      <c r="A194" s="9" t="s">
        <v>108</v>
      </c>
      <c r="B194" s="13" t="s">
        <v>66</v>
      </c>
      <c r="C194" s="13" t="s">
        <v>89</v>
      </c>
      <c r="D194" s="13" t="s">
        <v>626</v>
      </c>
      <c r="E194" s="13" t="s">
        <v>109</v>
      </c>
      <c r="F194" s="14">
        <f>'пр. 4 Вед'!G429</f>
        <v>550</v>
      </c>
      <c r="G194" s="14">
        <f>'пр. 4 Вед'!H429</f>
        <v>550</v>
      </c>
      <c r="H194" s="14">
        <f t="shared" si="14"/>
        <v>0</v>
      </c>
      <c r="I194" s="77">
        <f t="shared" si="15"/>
        <v>100</v>
      </c>
      <c r="L194" s="192"/>
      <c r="M194" s="192"/>
      <c r="N194" s="192"/>
      <c r="O194" s="192"/>
      <c r="P194" s="192"/>
      <c r="Q194" s="192"/>
    </row>
    <row r="195" spans="1:17" s="27" customFormat="1" ht="12.75">
      <c r="A195" s="46" t="s">
        <v>536</v>
      </c>
      <c r="B195" s="13" t="s">
        <v>66</v>
      </c>
      <c r="C195" s="13" t="s">
        <v>89</v>
      </c>
      <c r="D195" s="13" t="s">
        <v>538</v>
      </c>
      <c r="E195" s="13"/>
      <c r="F195" s="14">
        <f aca="true" t="shared" si="23" ref="F195:G197">F196</f>
        <v>1106</v>
      </c>
      <c r="G195" s="14">
        <f t="shared" si="23"/>
        <v>1045.3</v>
      </c>
      <c r="H195" s="14">
        <f t="shared" si="14"/>
        <v>60.700000000000045</v>
      </c>
      <c r="I195" s="77">
        <f t="shared" si="15"/>
        <v>94.51175406871609</v>
      </c>
      <c r="L195" s="192"/>
      <c r="M195" s="192"/>
      <c r="N195" s="192"/>
      <c r="O195" s="192"/>
      <c r="P195" s="192"/>
      <c r="Q195" s="192"/>
    </row>
    <row r="196" spans="1:17" s="27" customFormat="1" ht="12.75">
      <c r="A196" s="46" t="s">
        <v>770</v>
      </c>
      <c r="B196" s="13" t="s">
        <v>66</v>
      </c>
      <c r="C196" s="13" t="s">
        <v>89</v>
      </c>
      <c r="D196" s="13" t="s">
        <v>538</v>
      </c>
      <c r="E196" s="13" t="s">
        <v>113</v>
      </c>
      <c r="F196" s="14">
        <f t="shared" si="23"/>
        <v>1106</v>
      </c>
      <c r="G196" s="14">
        <f t="shared" si="23"/>
        <v>1045.3</v>
      </c>
      <c r="H196" s="14">
        <f t="shared" si="14"/>
        <v>60.700000000000045</v>
      </c>
      <c r="I196" s="77">
        <f t="shared" si="15"/>
        <v>94.51175406871609</v>
      </c>
      <c r="L196" s="192"/>
      <c r="M196" s="192"/>
      <c r="N196" s="192"/>
      <c r="O196" s="192"/>
      <c r="P196" s="192"/>
      <c r="Q196" s="192"/>
    </row>
    <row r="197" spans="1:17" s="27" customFormat="1" ht="25.5">
      <c r="A197" s="46" t="s">
        <v>106</v>
      </c>
      <c r="B197" s="13" t="s">
        <v>66</v>
      </c>
      <c r="C197" s="13" t="s">
        <v>89</v>
      </c>
      <c r="D197" s="13" t="s">
        <v>538</v>
      </c>
      <c r="E197" s="13" t="s">
        <v>107</v>
      </c>
      <c r="F197" s="14">
        <f t="shared" si="23"/>
        <v>1106</v>
      </c>
      <c r="G197" s="14">
        <f t="shared" si="23"/>
        <v>1045.3</v>
      </c>
      <c r="H197" s="14">
        <f t="shared" si="14"/>
        <v>60.700000000000045</v>
      </c>
      <c r="I197" s="77">
        <f t="shared" si="15"/>
        <v>94.51175406871609</v>
      </c>
      <c r="L197" s="192"/>
      <c r="M197" s="192"/>
      <c r="N197" s="192"/>
      <c r="O197" s="192"/>
      <c r="P197" s="192"/>
      <c r="Q197" s="192"/>
    </row>
    <row r="198" spans="1:17" s="27" customFormat="1" ht="25.5">
      <c r="A198" s="46" t="s">
        <v>108</v>
      </c>
      <c r="B198" s="13" t="s">
        <v>66</v>
      </c>
      <c r="C198" s="13" t="s">
        <v>89</v>
      </c>
      <c r="D198" s="13" t="s">
        <v>538</v>
      </c>
      <c r="E198" s="13" t="s">
        <v>109</v>
      </c>
      <c r="F198" s="14">
        <f>'пр. 4 Вед'!G433</f>
        <v>1106</v>
      </c>
      <c r="G198" s="14">
        <f>'пр. 4 Вед'!H433</f>
        <v>1045.3</v>
      </c>
      <c r="H198" s="14">
        <f t="shared" si="14"/>
        <v>60.700000000000045</v>
      </c>
      <c r="I198" s="77">
        <f t="shared" si="15"/>
        <v>94.51175406871609</v>
      </c>
      <c r="L198" s="192"/>
      <c r="M198" s="192"/>
      <c r="N198" s="192"/>
      <c r="O198" s="192"/>
      <c r="P198" s="192"/>
      <c r="Q198" s="192"/>
    </row>
    <row r="199" spans="1:17" s="27" customFormat="1" ht="25.5">
      <c r="A199" s="46" t="s">
        <v>537</v>
      </c>
      <c r="B199" s="13" t="s">
        <v>66</v>
      </c>
      <c r="C199" s="13" t="s">
        <v>89</v>
      </c>
      <c r="D199" s="13" t="s">
        <v>539</v>
      </c>
      <c r="E199" s="13"/>
      <c r="F199" s="14">
        <f>F200+F203</f>
        <v>340</v>
      </c>
      <c r="G199" s="14">
        <f>G200+G203</f>
        <v>140</v>
      </c>
      <c r="H199" s="14">
        <f t="shared" si="14"/>
        <v>200</v>
      </c>
      <c r="I199" s="77">
        <f t="shared" si="15"/>
        <v>41.17647058823529</v>
      </c>
      <c r="L199" s="192"/>
      <c r="M199" s="192"/>
      <c r="N199" s="192"/>
      <c r="O199" s="192"/>
      <c r="P199" s="192"/>
      <c r="Q199" s="192"/>
    </row>
    <row r="200" spans="1:17" s="27" customFormat="1" ht="12.75">
      <c r="A200" s="46" t="s">
        <v>770</v>
      </c>
      <c r="B200" s="13" t="s">
        <v>66</v>
      </c>
      <c r="C200" s="13" t="s">
        <v>89</v>
      </c>
      <c r="D200" s="13" t="s">
        <v>539</v>
      </c>
      <c r="E200" s="13" t="s">
        <v>113</v>
      </c>
      <c r="F200" s="14">
        <f>F201</f>
        <v>320</v>
      </c>
      <c r="G200" s="14">
        <f>G201</f>
        <v>120</v>
      </c>
      <c r="H200" s="14">
        <f t="shared" si="14"/>
        <v>200</v>
      </c>
      <c r="I200" s="77">
        <f t="shared" si="15"/>
        <v>37.5</v>
      </c>
      <c r="L200" s="192"/>
      <c r="M200" s="192"/>
      <c r="N200" s="192"/>
      <c r="O200" s="192"/>
      <c r="P200" s="192"/>
      <c r="Q200" s="192"/>
    </row>
    <row r="201" spans="1:17" s="27" customFormat="1" ht="25.5">
      <c r="A201" s="46" t="s">
        <v>106</v>
      </c>
      <c r="B201" s="13" t="s">
        <v>66</v>
      </c>
      <c r="C201" s="13" t="s">
        <v>89</v>
      </c>
      <c r="D201" s="13" t="s">
        <v>539</v>
      </c>
      <c r="E201" s="13" t="s">
        <v>107</v>
      </c>
      <c r="F201" s="14">
        <f>F202</f>
        <v>320</v>
      </c>
      <c r="G201" s="14">
        <f>G202</f>
        <v>120</v>
      </c>
      <c r="H201" s="14">
        <f aca="true" t="shared" si="24" ref="H201:H264">F201-G201</f>
        <v>200</v>
      </c>
      <c r="I201" s="77">
        <f aca="true" t="shared" si="25" ref="I201:I264">G201/F201*100</f>
        <v>37.5</v>
      </c>
      <c r="L201" s="192"/>
      <c r="M201" s="192"/>
      <c r="N201" s="192"/>
      <c r="O201" s="192"/>
      <c r="P201" s="192"/>
      <c r="Q201" s="192"/>
    </row>
    <row r="202" spans="1:17" s="27" customFormat="1" ht="25.5">
      <c r="A202" s="46" t="s">
        <v>108</v>
      </c>
      <c r="B202" s="13" t="s">
        <v>66</v>
      </c>
      <c r="C202" s="13" t="s">
        <v>89</v>
      </c>
      <c r="D202" s="13" t="s">
        <v>539</v>
      </c>
      <c r="E202" s="13" t="s">
        <v>109</v>
      </c>
      <c r="F202" s="14">
        <f>'пр. 4 Вед'!G437</f>
        <v>320</v>
      </c>
      <c r="G202" s="14">
        <f>'пр. 4 Вед'!H437</f>
        <v>120</v>
      </c>
      <c r="H202" s="14">
        <f t="shared" si="24"/>
        <v>200</v>
      </c>
      <c r="I202" s="77">
        <f t="shared" si="25"/>
        <v>37.5</v>
      </c>
      <c r="L202" s="192"/>
      <c r="M202" s="192"/>
      <c r="N202" s="192"/>
      <c r="O202" s="192"/>
      <c r="P202" s="192"/>
      <c r="Q202" s="192"/>
    </row>
    <row r="203" spans="1:17" s="27" customFormat="1" ht="12.75">
      <c r="A203" s="9" t="s">
        <v>137</v>
      </c>
      <c r="B203" s="13" t="s">
        <v>66</v>
      </c>
      <c r="C203" s="13" t="s">
        <v>89</v>
      </c>
      <c r="D203" s="13" t="s">
        <v>539</v>
      </c>
      <c r="E203" s="13" t="s">
        <v>138</v>
      </c>
      <c r="F203" s="14">
        <f>F204</f>
        <v>20</v>
      </c>
      <c r="G203" s="14">
        <f>G204</f>
        <v>20</v>
      </c>
      <c r="H203" s="14">
        <f t="shared" si="24"/>
        <v>0</v>
      </c>
      <c r="I203" s="77">
        <f t="shared" si="25"/>
        <v>100</v>
      </c>
      <c r="L203" s="192"/>
      <c r="M203" s="192"/>
      <c r="N203" s="192"/>
      <c r="O203" s="192"/>
      <c r="P203" s="192"/>
      <c r="Q203" s="192"/>
    </row>
    <row r="204" spans="1:17" s="27" customFormat="1" ht="12.75">
      <c r="A204" s="9" t="s">
        <v>140</v>
      </c>
      <c r="B204" s="13" t="s">
        <v>66</v>
      </c>
      <c r="C204" s="13" t="s">
        <v>89</v>
      </c>
      <c r="D204" s="13" t="s">
        <v>539</v>
      </c>
      <c r="E204" s="13" t="s">
        <v>141</v>
      </c>
      <c r="F204" s="14">
        <f>F205</f>
        <v>20</v>
      </c>
      <c r="G204" s="14">
        <f>G205</f>
        <v>20</v>
      </c>
      <c r="H204" s="14">
        <f t="shared" si="24"/>
        <v>0</v>
      </c>
      <c r="I204" s="77">
        <f t="shared" si="25"/>
        <v>100</v>
      </c>
      <c r="L204" s="192"/>
      <c r="M204" s="192"/>
      <c r="N204" s="192"/>
      <c r="O204" s="192"/>
      <c r="P204" s="192"/>
      <c r="Q204" s="192"/>
    </row>
    <row r="205" spans="1:17" s="27" customFormat="1" ht="12.75">
      <c r="A205" s="9" t="s">
        <v>180</v>
      </c>
      <c r="B205" s="13" t="s">
        <v>66</v>
      </c>
      <c r="C205" s="13" t="s">
        <v>89</v>
      </c>
      <c r="D205" s="13" t="s">
        <v>539</v>
      </c>
      <c r="E205" s="13" t="s">
        <v>181</v>
      </c>
      <c r="F205" s="14">
        <f>'пр. 4 Вед'!G440</f>
        <v>20</v>
      </c>
      <c r="G205" s="14">
        <f>'пр. 4 Вед'!H440</f>
        <v>20</v>
      </c>
      <c r="H205" s="14">
        <f t="shared" si="24"/>
        <v>0</v>
      </c>
      <c r="I205" s="77">
        <f t="shared" si="25"/>
        <v>100</v>
      </c>
      <c r="L205" s="192"/>
      <c r="M205" s="192"/>
      <c r="N205" s="192"/>
      <c r="O205" s="192"/>
      <c r="P205" s="192"/>
      <c r="Q205" s="192"/>
    </row>
    <row r="206" spans="1:17" s="27" customFormat="1" ht="15.75" customHeight="1">
      <c r="A206" s="46" t="s">
        <v>557</v>
      </c>
      <c r="B206" s="13" t="s">
        <v>66</v>
      </c>
      <c r="C206" s="13" t="s">
        <v>89</v>
      </c>
      <c r="D206" s="13" t="s">
        <v>251</v>
      </c>
      <c r="E206" s="29"/>
      <c r="F206" s="14">
        <f>F207</f>
        <v>1550.4</v>
      </c>
      <c r="G206" s="14">
        <f>G207</f>
        <v>1252.5</v>
      </c>
      <c r="H206" s="14">
        <f t="shared" si="24"/>
        <v>297.9000000000001</v>
      </c>
      <c r="I206" s="77">
        <f t="shared" si="25"/>
        <v>80.78560371517027</v>
      </c>
      <c r="L206" s="192"/>
      <c r="M206" s="192"/>
      <c r="N206" s="192"/>
      <c r="O206" s="192"/>
      <c r="P206" s="192"/>
      <c r="Q206" s="192"/>
    </row>
    <row r="207" spans="1:17" s="27" customFormat="1" ht="12.75">
      <c r="A207" s="46" t="s">
        <v>50</v>
      </c>
      <c r="B207" s="13" t="s">
        <v>66</v>
      </c>
      <c r="C207" s="13" t="s">
        <v>89</v>
      </c>
      <c r="D207" s="13" t="s">
        <v>277</v>
      </c>
      <c r="E207" s="13"/>
      <c r="F207" s="14">
        <f>F208</f>
        <v>1550.4</v>
      </c>
      <c r="G207" s="14">
        <f>G208</f>
        <v>1252.5</v>
      </c>
      <c r="H207" s="14">
        <f t="shared" si="24"/>
        <v>297.9000000000001</v>
      </c>
      <c r="I207" s="77">
        <f t="shared" si="25"/>
        <v>80.78560371517027</v>
      </c>
      <c r="L207" s="192"/>
      <c r="M207" s="192"/>
      <c r="N207" s="192"/>
      <c r="O207" s="192"/>
      <c r="P207" s="192"/>
      <c r="Q207" s="192"/>
    </row>
    <row r="208" spans="1:17" s="27" customFormat="1" ht="51">
      <c r="A208" s="46" t="s">
        <v>307</v>
      </c>
      <c r="B208" s="13" t="s">
        <v>66</v>
      </c>
      <c r="C208" s="13" t="s">
        <v>89</v>
      </c>
      <c r="D208" s="13" t="s">
        <v>348</v>
      </c>
      <c r="E208" s="13"/>
      <c r="F208" s="14">
        <f>F209+F214</f>
        <v>1550.4</v>
      </c>
      <c r="G208" s="14">
        <f>G209+G214</f>
        <v>1252.5</v>
      </c>
      <c r="H208" s="14">
        <f t="shared" si="24"/>
        <v>297.9000000000001</v>
      </c>
      <c r="I208" s="77">
        <f t="shared" si="25"/>
        <v>80.78560371517027</v>
      </c>
      <c r="L208" s="192"/>
      <c r="M208" s="192"/>
      <c r="N208" s="192"/>
      <c r="O208" s="192"/>
      <c r="P208" s="192"/>
      <c r="Q208" s="192"/>
    </row>
    <row r="209" spans="1:9" ht="38.25">
      <c r="A209" s="46" t="s">
        <v>110</v>
      </c>
      <c r="B209" s="13" t="s">
        <v>66</v>
      </c>
      <c r="C209" s="13" t="s">
        <v>89</v>
      </c>
      <c r="D209" s="13" t="s">
        <v>348</v>
      </c>
      <c r="E209" s="13" t="s">
        <v>111</v>
      </c>
      <c r="F209" s="14">
        <f>F210</f>
        <v>1329.4</v>
      </c>
      <c r="G209" s="14">
        <f>G210</f>
        <v>1079</v>
      </c>
      <c r="H209" s="14">
        <f t="shared" si="24"/>
        <v>250.4000000000001</v>
      </c>
      <c r="I209" s="77">
        <f t="shared" si="25"/>
        <v>81.16443508349631</v>
      </c>
    </row>
    <row r="210" spans="1:17" s="27" customFormat="1" ht="12.75">
      <c r="A210" s="46" t="s">
        <v>101</v>
      </c>
      <c r="B210" s="13" t="s">
        <v>66</v>
      </c>
      <c r="C210" s="13" t="s">
        <v>89</v>
      </c>
      <c r="D210" s="13" t="s">
        <v>348</v>
      </c>
      <c r="E210" s="13" t="s">
        <v>102</v>
      </c>
      <c r="F210" s="14">
        <f>F211+F212+F213</f>
        <v>1329.4</v>
      </c>
      <c r="G210" s="14">
        <f>G211+G212+G213</f>
        <v>1079</v>
      </c>
      <c r="H210" s="14">
        <f t="shared" si="24"/>
        <v>250.4000000000001</v>
      </c>
      <c r="I210" s="77">
        <f t="shared" si="25"/>
        <v>81.16443508349631</v>
      </c>
      <c r="L210" s="192"/>
      <c r="M210" s="192"/>
      <c r="N210" s="192"/>
      <c r="O210" s="192"/>
      <c r="P210" s="192"/>
      <c r="Q210" s="192"/>
    </row>
    <row r="211" spans="1:17" s="27" customFormat="1" ht="12.75">
      <c r="A211" s="46" t="s">
        <v>176</v>
      </c>
      <c r="B211" s="13" t="s">
        <v>66</v>
      </c>
      <c r="C211" s="13" t="s">
        <v>89</v>
      </c>
      <c r="D211" s="13" t="s">
        <v>348</v>
      </c>
      <c r="E211" s="13" t="s">
        <v>103</v>
      </c>
      <c r="F211" s="14">
        <f>'пр. 4 Вед'!G112</f>
        <v>1040.5</v>
      </c>
      <c r="G211" s="14">
        <f>'пр. 4 Вед'!H112</f>
        <v>828.3</v>
      </c>
      <c r="H211" s="14">
        <f t="shared" si="24"/>
        <v>212.20000000000005</v>
      </c>
      <c r="I211" s="77">
        <f t="shared" si="25"/>
        <v>79.60595867371455</v>
      </c>
      <c r="L211" s="192"/>
      <c r="M211" s="192"/>
      <c r="N211" s="192"/>
      <c r="O211" s="192"/>
      <c r="P211" s="192"/>
      <c r="Q211" s="192"/>
    </row>
    <row r="212" spans="1:17" s="27" customFormat="1" ht="25.5">
      <c r="A212" s="46" t="s">
        <v>104</v>
      </c>
      <c r="B212" s="13" t="s">
        <v>66</v>
      </c>
      <c r="C212" s="13" t="s">
        <v>89</v>
      </c>
      <c r="D212" s="13" t="s">
        <v>348</v>
      </c>
      <c r="E212" s="13" t="s">
        <v>105</v>
      </c>
      <c r="F212" s="14">
        <f>'пр. 4 Вед'!G113</f>
        <v>7.9</v>
      </c>
      <c r="G212" s="14">
        <f>'пр. 4 Вед'!H113</f>
        <v>7.9</v>
      </c>
      <c r="H212" s="14">
        <f t="shared" si="24"/>
        <v>0</v>
      </c>
      <c r="I212" s="77">
        <f t="shared" si="25"/>
        <v>100</v>
      </c>
      <c r="L212" s="192"/>
      <c r="M212" s="192"/>
      <c r="N212" s="192"/>
      <c r="O212" s="192"/>
      <c r="P212" s="192"/>
      <c r="Q212" s="192"/>
    </row>
    <row r="213" spans="1:17" s="27" customFormat="1" ht="25.5">
      <c r="A213" s="46" t="s">
        <v>178</v>
      </c>
      <c r="B213" s="13" t="s">
        <v>66</v>
      </c>
      <c r="C213" s="13" t="s">
        <v>89</v>
      </c>
      <c r="D213" s="13" t="s">
        <v>348</v>
      </c>
      <c r="E213" s="13" t="s">
        <v>177</v>
      </c>
      <c r="F213" s="14">
        <f>'пр. 4 Вед'!G114</f>
        <v>281</v>
      </c>
      <c r="G213" s="14">
        <f>'пр. 4 Вед'!H114</f>
        <v>242.8</v>
      </c>
      <c r="H213" s="14">
        <f t="shared" si="24"/>
        <v>38.19999999999999</v>
      </c>
      <c r="I213" s="77">
        <f t="shared" si="25"/>
        <v>86.40569395017795</v>
      </c>
      <c r="L213" s="192"/>
      <c r="M213" s="192"/>
      <c r="N213" s="192"/>
      <c r="O213" s="192"/>
      <c r="P213" s="192"/>
      <c r="Q213" s="192"/>
    </row>
    <row r="214" spans="1:9" ht="12.75">
      <c r="A214" s="46" t="s">
        <v>770</v>
      </c>
      <c r="B214" s="13" t="s">
        <v>66</v>
      </c>
      <c r="C214" s="13" t="s">
        <v>89</v>
      </c>
      <c r="D214" s="13" t="s">
        <v>348</v>
      </c>
      <c r="E214" s="13" t="s">
        <v>113</v>
      </c>
      <c r="F214" s="14">
        <f>F215</f>
        <v>220.99999999999997</v>
      </c>
      <c r="G214" s="14">
        <f>G215</f>
        <v>173.5</v>
      </c>
      <c r="H214" s="14">
        <f t="shared" si="24"/>
        <v>47.49999999999997</v>
      </c>
      <c r="I214" s="77">
        <f t="shared" si="25"/>
        <v>78.50678733031675</v>
      </c>
    </row>
    <row r="215" spans="1:9" ht="25.5">
      <c r="A215" s="46" t="s">
        <v>106</v>
      </c>
      <c r="B215" s="13" t="s">
        <v>66</v>
      </c>
      <c r="C215" s="13" t="s">
        <v>89</v>
      </c>
      <c r="D215" s="13" t="s">
        <v>348</v>
      </c>
      <c r="E215" s="13" t="s">
        <v>107</v>
      </c>
      <c r="F215" s="14">
        <f>F216</f>
        <v>220.99999999999997</v>
      </c>
      <c r="G215" s="14">
        <f>G216</f>
        <v>173.5</v>
      </c>
      <c r="H215" s="14">
        <f t="shared" si="24"/>
        <v>47.49999999999997</v>
      </c>
      <c r="I215" s="77">
        <f t="shared" si="25"/>
        <v>78.50678733031675</v>
      </c>
    </row>
    <row r="216" spans="1:9" ht="25.5">
      <c r="A216" s="46" t="s">
        <v>108</v>
      </c>
      <c r="B216" s="13" t="s">
        <v>66</v>
      </c>
      <c r="C216" s="13" t="s">
        <v>89</v>
      </c>
      <c r="D216" s="13" t="s">
        <v>348</v>
      </c>
      <c r="E216" s="13" t="s">
        <v>109</v>
      </c>
      <c r="F216" s="14">
        <f>'пр. 4 Вед'!G117</f>
        <v>220.99999999999997</v>
      </c>
      <c r="G216" s="14">
        <f>'пр. 4 Вед'!H117</f>
        <v>173.5</v>
      </c>
      <c r="H216" s="14">
        <f t="shared" si="24"/>
        <v>47.49999999999997</v>
      </c>
      <c r="I216" s="77">
        <f t="shared" si="25"/>
        <v>78.50678733031675</v>
      </c>
    </row>
    <row r="217" spans="1:9" ht="12.75">
      <c r="A217" s="8" t="s">
        <v>750</v>
      </c>
      <c r="B217" s="29" t="s">
        <v>67</v>
      </c>
      <c r="C217" s="29" t="s">
        <v>36</v>
      </c>
      <c r="D217" s="16"/>
      <c r="E217" s="75"/>
      <c r="F217" s="30">
        <f aca="true" t="shared" si="26" ref="F217:G221">F218</f>
        <v>38</v>
      </c>
      <c r="G217" s="30">
        <f t="shared" si="26"/>
        <v>38</v>
      </c>
      <c r="H217" s="30">
        <f t="shared" si="24"/>
        <v>0</v>
      </c>
      <c r="I217" s="82">
        <f t="shared" si="25"/>
        <v>100</v>
      </c>
    </row>
    <row r="218" spans="1:9" ht="12.75">
      <c r="A218" s="8" t="s">
        <v>324</v>
      </c>
      <c r="B218" s="29" t="s">
        <v>67</v>
      </c>
      <c r="C218" s="29" t="s">
        <v>70</v>
      </c>
      <c r="D218" s="16"/>
      <c r="E218" s="75"/>
      <c r="F218" s="30">
        <f t="shared" si="26"/>
        <v>38</v>
      </c>
      <c r="G218" s="30">
        <f t="shared" si="26"/>
        <v>38</v>
      </c>
      <c r="H218" s="30">
        <f t="shared" si="24"/>
        <v>0</v>
      </c>
      <c r="I218" s="82">
        <f t="shared" si="25"/>
        <v>100</v>
      </c>
    </row>
    <row r="219" spans="1:9" ht="12.75">
      <c r="A219" s="9" t="s">
        <v>666</v>
      </c>
      <c r="B219" s="13" t="s">
        <v>67</v>
      </c>
      <c r="C219" s="13" t="s">
        <v>70</v>
      </c>
      <c r="D219" s="13" t="s">
        <v>668</v>
      </c>
      <c r="E219" s="70"/>
      <c r="F219" s="14">
        <f t="shared" si="26"/>
        <v>38</v>
      </c>
      <c r="G219" s="14">
        <f t="shared" si="26"/>
        <v>38</v>
      </c>
      <c r="H219" s="14">
        <f t="shared" si="24"/>
        <v>0</v>
      </c>
      <c r="I219" s="77">
        <f t="shared" si="25"/>
        <v>100</v>
      </c>
    </row>
    <row r="220" spans="1:9" ht="12.75">
      <c r="A220" s="9" t="s">
        <v>747</v>
      </c>
      <c r="B220" s="13" t="s">
        <v>67</v>
      </c>
      <c r="C220" s="13" t="s">
        <v>70</v>
      </c>
      <c r="D220" s="13" t="s">
        <v>669</v>
      </c>
      <c r="E220" s="70"/>
      <c r="F220" s="14">
        <f t="shared" si="26"/>
        <v>38</v>
      </c>
      <c r="G220" s="14">
        <f t="shared" si="26"/>
        <v>38</v>
      </c>
      <c r="H220" s="14">
        <f t="shared" si="24"/>
        <v>0</v>
      </c>
      <c r="I220" s="77">
        <f t="shared" si="25"/>
        <v>100</v>
      </c>
    </row>
    <row r="221" spans="1:9" ht="25.5">
      <c r="A221" s="9" t="s">
        <v>751</v>
      </c>
      <c r="B221" s="13" t="s">
        <v>67</v>
      </c>
      <c r="C221" s="13" t="s">
        <v>70</v>
      </c>
      <c r="D221" s="76" t="s">
        <v>752</v>
      </c>
      <c r="E221" s="161" t="s">
        <v>111</v>
      </c>
      <c r="F221" s="14">
        <f>F222</f>
        <v>38</v>
      </c>
      <c r="G221" s="14">
        <f t="shared" si="26"/>
        <v>38</v>
      </c>
      <c r="H221" s="14">
        <f t="shared" si="24"/>
        <v>0</v>
      </c>
      <c r="I221" s="77">
        <f t="shared" si="25"/>
        <v>100</v>
      </c>
    </row>
    <row r="222" spans="1:9" ht="12.75">
      <c r="A222" s="9" t="s">
        <v>101</v>
      </c>
      <c r="B222" s="13" t="s">
        <v>67</v>
      </c>
      <c r="C222" s="13" t="s">
        <v>70</v>
      </c>
      <c r="D222" s="47" t="s">
        <v>752</v>
      </c>
      <c r="E222" s="13" t="s">
        <v>102</v>
      </c>
      <c r="F222" s="14">
        <f>F223+F224</f>
        <v>38</v>
      </c>
      <c r="G222" s="14">
        <f>G223+G224</f>
        <v>38</v>
      </c>
      <c r="H222" s="14">
        <f t="shared" si="24"/>
        <v>0</v>
      </c>
      <c r="I222" s="77">
        <f t="shared" si="25"/>
        <v>100</v>
      </c>
    </row>
    <row r="223" spans="1:9" ht="12.75">
      <c r="A223" s="9" t="s">
        <v>176</v>
      </c>
      <c r="B223" s="13" t="s">
        <v>67</v>
      </c>
      <c r="C223" s="13" t="s">
        <v>70</v>
      </c>
      <c r="D223" s="47" t="s">
        <v>752</v>
      </c>
      <c r="E223" s="13" t="s">
        <v>103</v>
      </c>
      <c r="F223" s="14">
        <f>'пр. 4 Вед'!G128</f>
        <v>29.6</v>
      </c>
      <c r="G223" s="14">
        <f>'пр. 4 Вед'!H128</f>
        <v>29.6</v>
      </c>
      <c r="H223" s="14">
        <f t="shared" si="24"/>
        <v>0</v>
      </c>
      <c r="I223" s="77">
        <f t="shared" si="25"/>
        <v>100</v>
      </c>
    </row>
    <row r="224" spans="1:9" ht="25.5">
      <c r="A224" s="9" t="s">
        <v>178</v>
      </c>
      <c r="B224" s="13" t="s">
        <v>67</v>
      </c>
      <c r="C224" s="13" t="s">
        <v>70</v>
      </c>
      <c r="D224" s="47" t="s">
        <v>752</v>
      </c>
      <c r="E224" s="13" t="s">
        <v>177</v>
      </c>
      <c r="F224" s="14">
        <f>'пр. 4 Вед'!G129</f>
        <v>8.4</v>
      </c>
      <c r="G224" s="14">
        <f>'пр. 4 Вед'!H129</f>
        <v>8.4</v>
      </c>
      <c r="H224" s="14">
        <f t="shared" si="24"/>
        <v>0</v>
      </c>
      <c r="I224" s="77">
        <f t="shared" si="25"/>
        <v>100</v>
      </c>
    </row>
    <row r="225" spans="1:9" ht="12.75">
      <c r="A225" s="60" t="s">
        <v>4</v>
      </c>
      <c r="B225" s="29" t="s">
        <v>70</v>
      </c>
      <c r="C225" s="29" t="s">
        <v>36</v>
      </c>
      <c r="D225" s="13"/>
      <c r="E225" s="13"/>
      <c r="F225" s="30">
        <f>F226</f>
        <v>6028.700000000001</v>
      </c>
      <c r="G225" s="30">
        <f>G226</f>
        <v>4532.6</v>
      </c>
      <c r="H225" s="30">
        <f t="shared" si="24"/>
        <v>1496.1000000000004</v>
      </c>
      <c r="I225" s="82">
        <f t="shared" si="25"/>
        <v>75.18370461293479</v>
      </c>
    </row>
    <row r="226" spans="1:9" ht="25.5">
      <c r="A226" s="60" t="s">
        <v>81</v>
      </c>
      <c r="B226" s="29" t="s">
        <v>70</v>
      </c>
      <c r="C226" s="29" t="s">
        <v>75</v>
      </c>
      <c r="D226" s="13"/>
      <c r="E226" s="13"/>
      <c r="F226" s="30">
        <f>F227+F233+F249+F239</f>
        <v>6028.700000000001</v>
      </c>
      <c r="G226" s="30">
        <f>G227+G233+G249+G239</f>
        <v>4532.6</v>
      </c>
      <c r="H226" s="30">
        <f t="shared" si="24"/>
        <v>1496.1000000000004</v>
      </c>
      <c r="I226" s="82">
        <f t="shared" si="25"/>
        <v>75.18370461293479</v>
      </c>
    </row>
    <row r="227" spans="1:9" ht="38.25">
      <c r="A227" s="46" t="s">
        <v>356</v>
      </c>
      <c r="B227" s="13" t="s">
        <v>70</v>
      </c>
      <c r="C227" s="13" t="s">
        <v>75</v>
      </c>
      <c r="D227" s="45" t="s">
        <v>193</v>
      </c>
      <c r="E227" s="13"/>
      <c r="F227" s="14">
        <f aca="true" t="shared" si="27" ref="F227:G231">F228</f>
        <v>850</v>
      </c>
      <c r="G227" s="14">
        <f t="shared" si="27"/>
        <v>578.9</v>
      </c>
      <c r="H227" s="14">
        <f t="shared" si="24"/>
        <v>271.1</v>
      </c>
      <c r="I227" s="77">
        <f t="shared" si="25"/>
        <v>68.10588235294117</v>
      </c>
    </row>
    <row r="228" spans="1:9" ht="25.5">
      <c r="A228" s="46" t="s">
        <v>304</v>
      </c>
      <c r="B228" s="13" t="s">
        <v>70</v>
      </c>
      <c r="C228" s="13" t="s">
        <v>75</v>
      </c>
      <c r="D228" s="45" t="s">
        <v>432</v>
      </c>
      <c r="E228" s="13"/>
      <c r="F228" s="14">
        <f t="shared" si="27"/>
        <v>850</v>
      </c>
      <c r="G228" s="14">
        <f t="shared" si="27"/>
        <v>578.9</v>
      </c>
      <c r="H228" s="14">
        <f t="shared" si="24"/>
        <v>271.1</v>
      </c>
      <c r="I228" s="77">
        <f t="shared" si="25"/>
        <v>68.10588235294117</v>
      </c>
    </row>
    <row r="229" spans="1:9" ht="25.5">
      <c r="A229" s="46" t="s">
        <v>192</v>
      </c>
      <c r="B229" s="13" t="s">
        <v>70</v>
      </c>
      <c r="C229" s="13" t="s">
        <v>75</v>
      </c>
      <c r="D229" s="45" t="s">
        <v>433</v>
      </c>
      <c r="E229" s="13"/>
      <c r="F229" s="14">
        <f t="shared" si="27"/>
        <v>850</v>
      </c>
      <c r="G229" s="14">
        <f t="shared" si="27"/>
        <v>578.9</v>
      </c>
      <c r="H229" s="14">
        <f t="shared" si="24"/>
        <v>271.1</v>
      </c>
      <c r="I229" s="77">
        <f t="shared" si="25"/>
        <v>68.10588235294117</v>
      </c>
    </row>
    <row r="230" spans="1:9" ht="12.75">
      <c r="A230" s="46" t="s">
        <v>770</v>
      </c>
      <c r="B230" s="13" t="s">
        <v>70</v>
      </c>
      <c r="C230" s="13" t="s">
        <v>75</v>
      </c>
      <c r="D230" s="45" t="s">
        <v>433</v>
      </c>
      <c r="E230" s="13" t="s">
        <v>113</v>
      </c>
      <c r="F230" s="14">
        <f t="shared" si="27"/>
        <v>850</v>
      </c>
      <c r="G230" s="14">
        <f t="shared" si="27"/>
        <v>578.9</v>
      </c>
      <c r="H230" s="14">
        <f t="shared" si="24"/>
        <v>271.1</v>
      </c>
      <c r="I230" s="77">
        <f t="shared" si="25"/>
        <v>68.10588235294117</v>
      </c>
    </row>
    <row r="231" spans="1:9" ht="21" customHeight="1">
      <c r="A231" s="46" t="s">
        <v>106</v>
      </c>
      <c r="B231" s="13" t="s">
        <v>70</v>
      </c>
      <c r="C231" s="13" t="s">
        <v>75</v>
      </c>
      <c r="D231" s="45" t="s">
        <v>433</v>
      </c>
      <c r="E231" s="13" t="s">
        <v>107</v>
      </c>
      <c r="F231" s="14">
        <f t="shared" si="27"/>
        <v>850</v>
      </c>
      <c r="G231" s="14">
        <f t="shared" si="27"/>
        <v>578.9</v>
      </c>
      <c r="H231" s="14">
        <f t="shared" si="24"/>
        <v>271.1</v>
      </c>
      <c r="I231" s="77">
        <f t="shared" si="25"/>
        <v>68.10588235294117</v>
      </c>
    </row>
    <row r="232" spans="1:9" ht="21.75" customHeight="1">
      <c r="A232" s="46" t="s">
        <v>108</v>
      </c>
      <c r="B232" s="13" t="s">
        <v>70</v>
      </c>
      <c r="C232" s="13" t="s">
        <v>75</v>
      </c>
      <c r="D232" s="45" t="s">
        <v>433</v>
      </c>
      <c r="E232" s="13" t="s">
        <v>109</v>
      </c>
      <c r="F232" s="14">
        <f>'пр. 4 Вед'!G137</f>
        <v>850</v>
      </c>
      <c r="G232" s="14">
        <f>'пр. 4 Вед'!H137</f>
        <v>578.9</v>
      </c>
      <c r="H232" s="14">
        <f t="shared" si="24"/>
        <v>271.1</v>
      </c>
      <c r="I232" s="77">
        <f t="shared" si="25"/>
        <v>68.10588235294117</v>
      </c>
    </row>
    <row r="233" spans="1:17" s="27" customFormat="1" ht="12.75">
      <c r="A233" s="46" t="s">
        <v>503</v>
      </c>
      <c r="B233" s="13" t="s">
        <v>70</v>
      </c>
      <c r="C233" s="13" t="s">
        <v>75</v>
      </c>
      <c r="D233" s="13" t="s">
        <v>252</v>
      </c>
      <c r="E233" s="13"/>
      <c r="F233" s="14">
        <f aca="true" t="shared" si="28" ref="F233:G237">F234</f>
        <v>163</v>
      </c>
      <c r="G233" s="14">
        <f t="shared" si="28"/>
        <v>163</v>
      </c>
      <c r="H233" s="14">
        <f t="shared" si="24"/>
        <v>0</v>
      </c>
      <c r="I233" s="77">
        <f t="shared" si="25"/>
        <v>100</v>
      </c>
      <c r="L233" s="192"/>
      <c r="M233" s="192"/>
      <c r="N233" s="192"/>
      <c r="O233" s="192"/>
      <c r="P233" s="192"/>
      <c r="Q233" s="192"/>
    </row>
    <row r="234" spans="1:9" ht="12.75">
      <c r="A234" s="46" t="s">
        <v>506</v>
      </c>
      <c r="B234" s="13" t="s">
        <v>70</v>
      </c>
      <c r="C234" s="13" t="s">
        <v>75</v>
      </c>
      <c r="D234" s="13" t="s">
        <v>501</v>
      </c>
      <c r="E234" s="13"/>
      <c r="F234" s="14">
        <f t="shared" si="28"/>
        <v>163</v>
      </c>
      <c r="G234" s="14">
        <f t="shared" si="28"/>
        <v>163</v>
      </c>
      <c r="H234" s="14">
        <f t="shared" si="24"/>
        <v>0</v>
      </c>
      <c r="I234" s="77">
        <f t="shared" si="25"/>
        <v>100</v>
      </c>
    </row>
    <row r="235" spans="1:17" s="27" customFormat="1" ht="38.25">
      <c r="A235" s="46" t="s">
        <v>271</v>
      </c>
      <c r="B235" s="13" t="s">
        <v>70</v>
      </c>
      <c r="C235" s="13" t="s">
        <v>75</v>
      </c>
      <c r="D235" s="13" t="s">
        <v>502</v>
      </c>
      <c r="E235" s="13"/>
      <c r="F235" s="14">
        <f t="shared" si="28"/>
        <v>163</v>
      </c>
      <c r="G235" s="14">
        <f t="shared" si="28"/>
        <v>163</v>
      </c>
      <c r="H235" s="14">
        <f t="shared" si="24"/>
        <v>0</v>
      </c>
      <c r="I235" s="77">
        <f t="shared" si="25"/>
        <v>100</v>
      </c>
      <c r="L235" s="192"/>
      <c r="M235" s="192"/>
      <c r="N235" s="192"/>
      <c r="O235" s="192"/>
      <c r="P235" s="192"/>
      <c r="Q235" s="192"/>
    </row>
    <row r="236" spans="1:17" s="27" customFormat="1" ht="38.25">
      <c r="A236" s="46" t="s">
        <v>110</v>
      </c>
      <c r="B236" s="13" t="s">
        <v>70</v>
      </c>
      <c r="C236" s="13" t="s">
        <v>75</v>
      </c>
      <c r="D236" s="13" t="s">
        <v>502</v>
      </c>
      <c r="E236" s="13" t="s">
        <v>111</v>
      </c>
      <c r="F236" s="14">
        <f>F237</f>
        <v>163</v>
      </c>
      <c r="G236" s="14">
        <f t="shared" si="28"/>
        <v>163</v>
      </c>
      <c r="H236" s="14">
        <f t="shared" si="24"/>
        <v>0</v>
      </c>
      <c r="I236" s="77">
        <f t="shared" si="25"/>
        <v>100</v>
      </c>
      <c r="L236" s="192"/>
      <c r="M236" s="192"/>
      <c r="N236" s="192"/>
      <c r="O236" s="192"/>
      <c r="P236" s="192"/>
      <c r="Q236" s="192"/>
    </row>
    <row r="237" spans="1:17" s="27" customFormat="1" ht="12.75">
      <c r="A237" s="46" t="s">
        <v>406</v>
      </c>
      <c r="B237" s="13" t="s">
        <v>70</v>
      </c>
      <c r="C237" s="13" t="s">
        <v>75</v>
      </c>
      <c r="D237" s="13" t="s">
        <v>502</v>
      </c>
      <c r="E237" s="13" t="s">
        <v>408</v>
      </c>
      <c r="F237" s="14">
        <f>F238</f>
        <v>163</v>
      </c>
      <c r="G237" s="14">
        <f t="shared" si="28"/>
        <v>163</v>
      </c>
      <c r="H237" s="14">
        <f t="shared" si="24"/>
        <v>0</v>
      </c>
      <c r="I237" s="77">
        <f t="shared" si="25"/>
        <v>100</v>
      </c>
      <c r="L237" s="192"/>
      <c r="M237" s="192"/>
      <c r="N237" s="192"/>
      <c r="O237" s="192"/>
      <c r="P237" s="192"/>
      <c r="Q237" s="192"/>
    </row>
    <row r="238" spans="1:9" ht="12.75">
      <c r="A238" s="46" t="s">
        <v>574</v>
      </c>
      <c r="B238" s="13" t="s">
        <v>70</v>
      </c>
      <c r="C238" s="13" t="s">
        <v>75</v>
      </c>
      <c r="D238" s="13" t="s">
        <v>502</v>
      </c>
      <c r="E238" s="13" t="s">
        <v>407</v>
      </c>
      <c r="F238" s="14">
        <f>'пр. 4 Вед'!G143</f>
        <v>163</v>
      </c>
      <c r="G238" s="14">
        <f>'пр. 4 Вед'!H143</f>
        <v>163</v>
      </c>
      <c r="H238" s="14">
        <f t="shared" si="24"/>
        <v>0</v>
      </c>
      <c r="I238" s="77">
        <f t="shared" si="25"/>
        <v>100</v>
      </c>
    </row>
    <row r="239" spans="1:9" ht="25.5">
      <c r="A239" s="9" t="s">
        <v>658</v>
      </c>
      <c r="B239" s="13" t="s">
        <v>70</v>
      </c>
      <c r="C239" s="13" t="s">
        <v>75</v>
      </c>
      <c r="D239" s="13" t="s">
        <v>660</v>
      </c>
      <c r="E239" s="13"/>
      <c r="F239" s="14">
        <f>F240</f>
        <v>970.1</v>
      </c>
      <c r="G239" s="14">
        <f>G240</f>
        <v>970.1</v>
      </c>
      <c r="H239" s="14">
        <f t="shared" si="24"/>
        <v>0</v>
      </c>
      <c r="I239" s="77">
        <f t="shared" si="25"/>
        <v>100</v>
      </c>
    </row>
    <row r="240" spans="1:9" ht="25.5">
      <c r="A240" s="71" t="s">
        <v>289</v>
      </c>
      <c r="B240" s="13" t="s">
        <v>70</v>
      </c>
      <c r="C240" s="13" t="s">
        <v>75</v>
      </c>
      <c r="D240" s="13" t="s">
        <v>661</v>
      </c>
      <c r="E240" s="13"/>
      <c r="F240" s="14">
        <f>F241+F245</f>
        <v>970.1</v>
      </c>
      <c r="G240" s="14">
        <f>G241+G245</f>
        <v>970.1</v>
      </c>
      <c r="H240" s="14">
        <f t="shared" si="24"/>
        <v>0</v>
      </c>
      <c r="I240" s="77">
        <f t="shared" si="25"/>
        <v>100</v>
      </c>
    </row>
    <row r="241" spans="1:9" ht="25.5">
      <c r="A241" s="9" t="s">
        <v>659</v>
      </c>
      <c r="B241" s="13" t="s">
        <v>70</v>
      </c>
      <c r="C241" s="13" t="s">
        <v>75</v>
      </c>
      <c r="D241" s="13" t="s">
        <v>662</v>
      </c>
      <c r="E241" s="13"/>
      <c r="F241" s="14">
        <f aca="true" t="shared" si="29" ref="F241:G243">F242</f>
        <v>792</v>
      </c>
      <c r="G241" s="14">
        <f t="shared" si="29"/>
        <v>792</v>
      </c>
      <c r="H241" s="14">
        <f t="shared" si="24"/>
        <v>0</v>
      </c>
      <c r="I241" s="77">
        <f t="shared" si="25"/>
        <v>100</v>
      </c>
    </row>
    <row r="242" spans="1:9" ht="12.75">
      <c r="A242" s="46" t="s">
        <v>770</v>
      </c>
      <c r="B242" s="13" t="s">
        <v>70</v>
      </c>
      <c r="C242" s="13" t="s">
        <v>75</v>
      </c>
      <c r="D242" s="13" t="s">
        <v>662</v>
      </c>
      <c r="E242" s="13" t="s">
        <v>113</v>
      </c>
      <c r="F242" s="14">
        <f t="shared" si="29"/>
        <v>792</v>
      </c>
      <c r="G242" s="14">
        <f t="shared" si="29"/>
        <v>792</v>
      </c>
      <c r="H242" s="14">
        <f t="shared" si="24"/>
        <v>0</v>
      </c>
      <c r="I242" s="77">
        <f t="shared" si="25"/>
        <v>100</v>
      </c>
    </row>
    <row r="243" spans="1:9" ht="25.5">
      <c r="A243" s="9" t="s">
        <v>106</v>
      </c>
      <c r="B243" s="13" t="s">
        <v>70</v>
      </c>
      <c r="C243" s="13" t="s">
        <v>75</v>
      </c>
      <c r="D243" s="13" t="s">
        <v>662</v>
      </c>
      <c r="E243" s="13" t="s">
        <v>107</v>
      </c>
      <c r="F243" s="14">
        <f t="shared" si="29"/>
        <v>792</v>
      </c>
      <c r="G243" s="14">
        <f t="shared" si="29"/>
        <v>792</v>
      </c>
      <c r="H243" s="14">
        <f t="shared" si="24"/>
        <v>0</v>
      </c>
      <c r="I243" s="77">
        <f t="shared" si="25"/>
        <v>100</v>
      </c>
    </row>
    <row r="244" spans="1:9" ht="25.5">
      <c r="A244" s="9" t="s">
        <v>108</v>
      </c>
      <c r="B244" s="13" t="s">
        <v>70</v>
      </c>
      <c r="C244" s="13" t="s">
        <v>75</v>
      </c>
      <c r="D244" s="13" t="s">
        <v>662</v>
      </c>
      <c r="E244" s="13" t="s">
        <v>109</v>
      </c>
      <c r="F244" s="14">
        <f>'пр. 4 Вед'!G149</f>
        <v>792</v>
      </c>
      <c r="G244" s="14">
        <f>'пр. 4 Вед'!H149</f>
        <v>792</v>
      </c>
      <c r="H244" s="14">
        <f t="shared" si="24"/>
        <v>0</v>
      </c>
      <c r="I244" s="77">
        <f t="shared" si="25"/>
        <v>100</v>
      </c>
    </row>
    <row r="245" spans="1:9" ht="12.75">
      <c r="A245" s="9" t="s">
        <v>627</v>
      </c>
      <c r="B245" s="13" t="s">
        <v>70</v>
      </c>
      <c r="C245" s="13" t="s">
        <v>75</v>
      </c>
      <c r="D245" s="13" t="s">
        <v>737</v>
      </c>
      <c r="E245" s="13"/>
      <c r="F245" s="14">
        <f aca="true" t="shared" si="30" ref="F245:G247">F246</f>
        <v>178.1</v>
      </c>
      <c r="G245" s="14">
        <f t="shared" si="30"/>
        <v>178.1</v>
      </c>
      <c r="H245" s="14">
        <f t="shared" si="24"/>
        <v>0</v>
      </c>
      <c r="I245" s="77">
        <f t="shared" si="25"/>
        <v>100</v>
      </c>
    </row>
    <row r="246" spans="1:9" ht="12.75">
      <c r="A246" s="9" t="s">
        <v>137</v>
      </c>
      <c r="B246" s="13" t="s">
        <v>70</v>
      </c>
      <c r="C246" s="13" t="s">
        <v>75</v>
      </c>
      <c r="D246" s="13" t="s">
        <v>737</v>
      </c>
      <c r="E246" s="13" t="s">
        <v>138</v>
      </c>
      <c r="F246" s="14">
        <f t="shared" si="30"/>
        <v>178.1</v>
      </c>
      <c r="G246" s="14">
        <f t="shared" si="30"/>
        <v>178.1</v>
      </c>
      <c r="H246" s="14">
        <f t="shared" si="24"/>
        <v>0</v>
      </c>
      <c r="I246" s="77">
        <f t="shared" si="25"/>
        <v>100</v>
      </c>
    </row>
    <row r="247" spans="1:9" ht="12.75">
      <c r="A247" s="9" t="s">
        <v>611</v>
      </c>
      <c r="B247" s="13" t="s">
        <v>70</v>
      </c>
      <c r="C247" s="13" t="s">
        <v>75</v>
      </c>
      <c r="D247" s="13" t="s">
        <v>737</v>
      </c>
      <c r="E247" s="13" t="s">
        <v>612</v>
      </c>
      <c r="F247" s="14">
        <f t="shared" si="30"/>
        <v>178.1</v>
      </c>
      <c r="G247" s="14">
        <f t="shared" si="30"/>
        <v>178.1</v>
      </c>
      <c r="H247" s="14">
        <f t="shared" si="24"/>
        <v>0</v>
      </c>
      <c r="I247" s="77">
        <f t="shared" si="25"/>
        <v>100</v>
      </c>
    </row>
    <row r="248" spans="1:9" ht="49.5" customHeight="1">
      <c r="A248" s="9" t="s">
        <v>771</v>
      </c>
      <c r="B248" s="13" t="s">
        <v>70</v>
      </c>
      <c r="C248" s="13" t="s">
        <v>75</v>
      </c>
      <c r="D248" s="13" t="s">
        <v>737</v>
      </c>
      <c r="E248" s="13" t="s">
        <v>613</v>
      </c>
      <c r="F248" s="14">
        <f>'пр. 4 Вед'!G153</f>
        <v>178.1</v>
      </c>
      <c r="G248" s="14">
        <f>'пр. 4 Вед'!H153</f>
        <v>178.1</v>
      </c>
      <c r="H248" s="14">
        <f t="shared" si="24"/>
        <v>0</v>
      </c>
      <c r="I248" s="77">
        <f t="shared" si="25"/>
        <v>100</v>
      </c>
    </row>
    <row r="249" spans="1:9" ht="25.5">
      <c r="A249" s="46" t="s">
        <v>90</v>
      </c>
      <c r="B249" s="13" t="s">
        <v>70</v>
      </c>
      <c r="C249" s="13" t="s">
        <v>75</v>
      </c>
      <c r="D249" s="13" t="s">
        <v>256</v>
      </c>
      <c r="E249" s="13"/>
      <c r="F249" s="14">
        <f>F250</f>
        <v>4045.6000000000004</v>
      </c>
      <c r="G249" s="14">
        <f>G250</f>
        <v>2820.6</v>
      </c>
      <c r="H249" s="14">
        <f t="shared" si="24"/>
        <v>1225.0000000000005</v>
      </c>
      <c r="I249" s="77">
        <f t="shared" si="25"/>
        <v>69.72018983587105</v>
      </c>
    </row>
    <row r="250" spans="1:9" ht="25.5">
      <c r="A250" s="46" t="s">
        <v>289</v>
      </c>
      <c r="B250" s="13" t="s">
        <v>70</v>
      </c>
      <c r="C250" s="13" t="s">
        <v>75</v>
      </c>
      <c r="D250" s="13" t="s">
        <v>541</v>
      </c>
      <c r="E250" s="13"/>
      <c r="F250" s="14">
        <f>F251</f>
        <v>4045.6000000000004</v>
      </c>
      <c r="G250" s="14">
        <f>G251</f>
        <v>2820.6</v>
      </c>
      <c r="H250" s="14">
        <f t="shared" si="24"/>
        <v>1225.0000000000005</v>
      </c>
      <c r="I250" s="77">
        <f t="shared" si="25"/>
        <v>69.72018983587105</v>
      </c>
    </row>
    <row r="251" spans="1:9" ht="12.75">
      <c r="A251" s="46" t="s">
        <v>540</v>
      </c>
      <c r="B251" s="13" t="s">
        <v>70</v>
      </c>
      <c r="C251" s="13" t="s">
        <v>75</v>
      </c>
      <c r="D251" s="13" t="s">
        <v>546</v>
      </c>
      <c r="E251" s="13"/>
      <c r="F251" s="14">
        <f>F252+F256</f>
        <v>4045.6000000000004</v>
      </c>
      <c r="G251" s="14">
        <f>G252+G256</f>
        <v>2820.6</v>
      </c>
      <c r="H251" s="14">
        <f t="shared" si="24"/>
        <v>1225.0000000000005</v>
      </c>
      <c r="I251" s="77">
        <f t="shared" si="25"/>
        <v>69.72018983587105</v>
      </c>
    </row>
    <row r="252" spans="1:9" ht="38.25">
      <c r="A252" s="46" t="s">
        <v>110</v>
      </c>
      <c r="B252" s="13" t="s">
        <v>70</v>
      </c>
      <c r="C252" s="13" t="s">
        <v>75</v>
      </c>
      <c r="D252" s="13" t="s">
        <v>546</v>
      </c>
      <c r="E252" s="13" t="s">
        <v>111</v>
      </c>
      <c r="F252" s="14">
        <f>F253</f>
        <v>3757.3</v>
      </c>
      <c r="G252" s="14">
        <f>G253</f>
        <v>2615.9</v>
      </c>
      <c r="H252" s="14">
        <f t="shared" si="24"/>
        <v>1141.4</v>
      </c>
      <c r="I252" s="77">
        <f t="shared" si="25"/>
        <v>69.6218028903734</v>
      </c>
    </row>
    <row r="253" spans="1:9" ht="12.75">
      <c r="A253" s="46" t="s">
        <v>406</v>
      </c>
      <c r="B253" s="13" t="s">
        <v>70</v>
      </c>
      <c r="C253" s="13" t="s">
        <v>75</v>
      </c>
      <c r="D253" s="13" t="s">
        <v>546</v>
      </c>
      <c r="E253" s="13" t="s">
        <v>408</v>
      </c>
      <c r="F253" s="14">
        <f>F254+F255</f>
        <v>3757.3</v>
      </c>
      <c r="G253" s="14">
        <f>G254+G255</f>
        <v>2615.9</v>
      </c>
      <c r="H253" s="14">
        <f t="shared" si="24"/>
        <v>1141.4</v>
      </c>
      <c r="I253" s="77">
        <f t="shared" si="25"/>
        <v>69.6218028903734</v>
      </c>
    </row>
    <row r="254" spans="1:9" ht="12.75">
      <c r="A254" s="46" t="s">
        <v>573</v>
      </c>
      <c r="B254" s="13" t="s">
        <v>70</v>
      </c>
      <c r="C254" s="13" t="s">
        <v>75</v>
      </c>
      <c r="D254" s="13" t="s">
        <v>546</v>
      </c>
      <c r="E254" s="13" t="s">
        <v>409</v>
      </c>
      <c r="F254" s="14">
        <f>'пр. 4 Вед'!G159</f>
        <v>2897</v>
      </c>
      <c r="G254" s="14">
        <f>'пр. 4 Вед'!H159</f>
        <v>2021</v>
      </c>
      <c r="H254" s="14">
        <f t="shared" si="24"/>
        <v>876</v>
      </c>
      <c r="I254" s="77">
        <f t="shared" si="25"/>
        <v>69.76182257507767</v>
      </c>
    </row>
    <row r="255" spans="1:9" ht="25.5">
      <c r="A255" s="46" t="s">
        <v>575</v>
      </c>
      <c r="B255" s="13" t="s">
        <v>70</v>
      </c>
      <c r="C255" s="13" t="s">
        <v>75</v>
      </c>
      <c r="D255" s="13" t="s">
        <v>546</v>
      </c>
      <c r="E255" s="13" t="s">
        <v>410</v>
      </c>
      <c r="F255" s="14">
        <f>'пр. 4 Вед'!G160</f>
        <v>860.3</v>
      </c>
      <c r="G255" s="14">
        <f>'пр. 4 Вед'!H160</f>
        <v>594.9</v>
      </c>
      <c r="H255" s="14">
        <f t="shared" si="24"/>
        <v>265.4</v>
      </c>
      <c r="I255" s="77">
        <f t="shared" si="25"/>
        <v>69.15029640822968</v>
      </c>
    </row>
    <row r="256" spans="1:17" s="27" customFormat="1" ht="12.75">
      <c r="A256" s="46" t="s">
        <v>770</v>
      </c>
      <c r="B256" s="13" t="s">
        <v>70</v>
      </c>
      <c r="C256" s="13" t="s">
        <v>75</v>
      </c>
      <c r="D256" s="13" t="s">
        <v>546</v>
      </c>
      <c r="E256" s="13" t="s">
        <v>113</v>
      </c>
      <c r="F256" s="14">
        <f>F257</f>
        <v>288.3</v>
      </c>
      <c r="G256" s="14">
        <f>G257</f>
        <v>204.7</v>
      </c>
      <c r="H256" s="14">
        <f t="shared" si="24"/>
        <v>83.60000000000002</v>
      </c>
      <c r="I256" s="77">
        <f t="shared" si="25"/>
        <v>71.00242802636141</v>
      </c>
      <c r="L256" s="192"/>
      <c r="M256" s="192"/>
      <c r="N256" s="192"/>
      <c r="O256" s="192"/>
      <c r="P256" s="192"/>
      <c r="Q256" s="192"/>
    </row>
    <row r="257" spans="1:17" s="27" customFormat="1" ht="18.75" customHeight="1">
      <c r="A257" s="46" t="s">
        <v>106</v>
      </c>
      <c r="B257" s="13" t="s">
        <v>70</v>
      </c>
      <c r="C257" s="13" t="s">
        <v>75</v>
      </c>
      <c r="D257" s="13" t="s">
        <v>546</v>
      </c>
      <c r="E257" s="13" t="s">
        <v>107</v>
      </c>
      <c r="F257" s="14">
        <f>F258</f>
        <v>288.3</v>
      </c>
      <c r="G257" s="14">
        <f>G258</f>
        <v>204.7</v>
      </c>
      <c r="H257" s="14">
        <f t="shared" si="24"/>
        <v>83.60000000000002</v>
      </c>
      <c r="I257" s="77">
        <f t="shared" si="25"/>
        <v>71.00242802636141</v>
      </c>
      <c r="L257" s="192"/>
      <c r="M257" s="192"/>
      <c r="N257" s="192"/>
      <c r="O257" s="192"/>
      <c r="P257" s="192"/>
      <c r="Q257" s="192"/>
    </row>
    <row r="258" spans="1:17" s="27" customFormat="1" ht="18" customHeight="1">
      <c r="A258" s="46" t="s">
        <v>108</v>
      </c>
      <c r="B258" s="13" t="s">
        <v>70</v>
      </c>
      <c r="C258" s="13" t="s">
        <v>75</v>
      </c>
      <c r="D258" s="13" t="s">
        <v>546</v>
      </c>
      <c r="E258" s="13" t="s">
        <v>109</v>
      </c>
      <c r="F258" s="14">
        <f>'пр. 4 Вед'!G163</f>
        <v>288.3</v>
      </c>
      <c r="G258" s="14">
        <f>'пр. 4 Вед'!H163</f>
        <v>204.7</v>
      </c>
      <c r="H258" s="14">
        <f t="shared" si="24"/>
        <v>83.60000000000002</v>
      </c>
      <c r="I258" s="77">
        <f t="shared" si="25"/>
        <v>71.00242802636141</v>
      </c>
      <c r="L258" s="192"/>
      <c r="M258" s="192"/>
      <c r="N258" s="192"/>
      <c r="O258" s="192"/>
      <c r="P258" s="192"/>
      <c r="Q258" s="192"/>
    </row>
    <row r="259" spans="1:17" s="27" customFormat="1" ht="12.75">
      <c r="A259" s="60" t="s">
        <v>5</v>
      </c>
      <c r="B259" s="29" t="s">
        <v>68</v>
      </c>
      <c r="C259" s="29" t="s">
        <v>36</v>
      </c>
      <c r="D259" s="29"/>
      <c r="E259" s="29"/>
      <c r="F259" s="30">
        <f>F260+F301+F324+F306+F273</f>
        <v>166635.7</v>
      </c>
      <c r="G259" s="30">
        <f>G260+G301+G324+G306+G273</f>
        <v>166210.7</v>
      </c>
      <c r="H259" s="30">
        <f t="shared" si="24"/>
        <v>425</v>
      </c>
      <c r="I259" s="82">
        <f t="shared" si="25"/>
        <v>99.74495261219535</v>
      </c>
      <c r="L259" s="192"/>
      <c r="M259" s="192"/>
      <c r="N259" s="192"/>
      <c r="O259" s="192"/>
      <c r="P259" s="192"/>
      <c r="Q259" s="192"/>
    </row>
    <row r="260" spans="1:17" s="27" customFormat="1" ht="12.75">
      <c r="A260" s="60" t="s">
        <v>80</v>
      </c>
      <c r="B260" s="29" t="s">
        <v>68</v>
      </c>
      <c r="C260" s="29" t="s">
        <v>72</v>
      </c>
      <c r="D260" s="13"/>
      <c r="E260" s="13"/>
      <c r="F260" s="30">
        <f>F268+F261</f>
        <v>808.2</v>
      </c>
      <c r="G260" s="30">
        <f>G268+G261</f>
        <v>566.7</v>
      </c>
      <c r="H260" s="30">
        <f t="shared" si="24"/>
        <v>241.5</v>
      </c>
      <c r="I260" s="82">
        <f t="shared" si="25"/>
        <v>70.11878247958427</v>
      </c>
      <c r="L260" s="192"/>
      <c r="M260" s="192"/>
      <c r="N260" s="192"/>
      <c r="O260" s="192"/>
      <c r="P260" s="192"/>
      <c r="Q260" s="192"/>
    </row>
    <row r="261" spans="1:17" s="27" customFormat="1" ht="25.5">
      <c r="A261" s="9" t="s">
        <v>748</v>
      </c>
      <c r="B261" s="13" t="s">
        <v>68</v>
      </c>
      <c r="C261" s="13" t="s">
        <v>72</v>
      </c>
      <c r="D261" s="13" t="s">
        <v>712</v>
      </c>
      <c r="E261" s="29"/>
      <c r="F261" s="14">
        <f aca="true" t="shared" si="31" ref="F261:G266">F262</f>
        <v>308.2</v>
      </c>
      <c r="G261" s="14">
        <f t="shared" si="31"/>
        <v>66.7</v>
      </c>
      <c r="H261" s="14">
        <f t="shared" si="24"/>
        <v>241.5</v>
      </c>
      <c r="I261" s="77">
        <f t="shared" si="25"/>
        <v>21.64179104477612</v>
      </c>
      <c r="L261" s="192"/>
      <c r="M261" s="192"/>
      <c r="N261" s="192"/>
      <c r="O261" s="192"/>
      <c r="P261" s="192"/>
      <c r="Q261" s="192"/>
    </row>
    <row r="262" spans="1:17" s="27" customFormat="1" ht="25.5">
      <c r="A262" s="9" t="s">
        <v>713</v>
      </c>
      <c r="B262" s="13" t="s">
        <v>68</v>
      </c>
      <c r="C262" s="13" t="s">
        <v>72</v>
      </c>
      <c r="D262" s="13" t="s">
        <v>714</v>
      </c>
      <c r="E262" s="29"/>
      <c r="F262" s="14">
        <f t="shared" si="31"/>
        <v>308.2</v>
      </c>
      <c r="G262" s="14">
        <f t="shared" si="31"/>
        <v>66.7</v>
      </c>
      <c r="H262" s="14">
        <f t="shared" si="24"/>
        <v>241.5</v>
      </c>
      <c r="I262" s="77">
        <f t="shared" si="25"/>
        <v>21.64179104477612</v>
      </c>
      <c r="L262" s="192"/>
      <c r="M262" s="192"/>
      <c r="N262" s="192"/>
      <c r="O262" s="192"/>
      <c r="P262" s="192"/>
      <c r="Q262" s="192"/>
    </row>
    <row r="263" spans="1:17" s="27" customFormat="1" ht="25.5">
      <c r="A263" s="9" t="s">
        <v>715</v>
      </c>
      <c r="B263" s="13" t="s">
        <v>68</v>
      </c>
      <c r="C263" s="13" t="s">
        <v>72</v>
      </c>
      <c r="D263" s="13" t="s">
        <v>716</v>
      </c>
      <c r="E263" s="29"/>
      <c r="F263" s="14">
        <f t="shared" si="31"/>
        <v>308.2</v>
      </c>
      <c r="G263" s="14">
        <f t="shared" si="31"/>
        <v>66.7</v>
      </c>
      <c r="H263" s="14">
        <f t="shared" si="24"/>
        <v>241.5</v>
      </c>
      <c r="I263" s="77">
        <f t="shared" si="25"/>
        <v>21.64179104477612</v>
      </c>
      <c r="L263" s="192"/>
      <c r="M263" s="192"/>
      <c r="N263" s="192"/>
      <c r="O263" s="192"/>
      <c r="P263" s="192"/>
      <c r="Q263" s="192"/>
    </row>
    <row r="264" spans="1:17" s="27" customFormat="1" ht="16.5" customHeight="1">
      <c r="A264" s="9" t="s">
        <v>717</v>
      </c>
      <c r="B264" s="13" t="s">
        <v>68</v>
      </c>
      <c r="C264" s="13" t="s">
        <v>72</v>
      </c>
      <c r="D264" s="13" t="s">
        <v>718</v>
      </c>
      <c r="E264" s="29"/>
      <c r="F264" s="14">
        <f t="shared" si="31"/>
        <v>308.2</v>
      </c>
      <c r="G264" s="14">
        <f t="shared" si="31"/>
        <v>66.7</v>
      </c>
      <c r="H264" s="14">
        <f t="shared" si="24"/>
        <v>241.5</v>
      </c>
      <c r="I264" s="77">
        <f t="shared" si="25"/>
        <v>21.64179104477612</v>
      </c>
      <c r="L264" s="192"/>
      <c r="M264" s="192"/>
      <c r="N264" s="192"/>
      <c r="O264" s="192"/>
      <c r="P264" s="192"/>
      <c r="Q264" s="192"/>
    </row>
    <row r="265" spans="1:17" s="27" customFormat="1" ht="12.75">
      <c r="A265" s="46" t="s">
        <v>770</v>
      </c>
      <c r="B265" s="13" t="s">
        <v>68</v>
      </c>
      <c r="C265" s="13" t="s">
        <v>72</v>
      </c>
      <c r="D265" s="13" t="s">
        <v>718</v>
      </c>
      <c r="E265" s="13" t="s">
        <v>113</v>
      </c>
      <c r="F265" s="14">
        <f t="shared" si="31"/>
        <v>308.2</v>
      </c>
      <c r="G265" s="14">
        <f t="shared" si="31"/>
        <v>66.7</v>
      </c>
      <c r="H265" s="14">
        <f aca="true" t="shared" si="32" ref="H265:H328">F265-G265</f>
        <v>241.5</v>
      </c>
      <c r="I265" s="77">
        <f aca="true" t="shared" si="33" ref="I265:I328">G265/F265*100</f>
        <v>21.64179104477612</v>
      </c>
      <c r="L265" s="192"/>
      <c r="M265" s="192"/>
      <c r="N265" s="192"/>
      <c r="O265" s="192"/>
      <c r="P265" s="192"/>
      <c r="Q265" s="192"/>
    </row>
    <row r="266" spans="1:17" s="27" customFormat="1" ht="25.5">
      <c r="A266" s="9" t="s">
        <v>106</v>
      </c>
      <c r="B266" s="13" t="s">
        <v>68</v>
      </c>
      <c r="C266" s="13" t="s">
        <v>72</v>
      </c>
      <c r="D266" s="13" t="s">
        <v>718</v>
      </c>
      <c r="E266" s="13" t="s">
        <v>107</v>
      </c>
      <c r="F266" s="14">
        <f t="shared" si="31"/>
        <v>308.2</v>
      </c>
      <c r="G266" s="14">
        <f t="shared" si="31"/>
        <v>66.7</v>
      </c>
      <c r="H266" s="14">
        <f t="shared" si="32"/>
        <v>241.5</v>
      </c>
      <c r="I266" s="77">
        <f t="shared" si="33"/>
        <v>21.64179104477612</v>
      </c>
      <c r="L266" s="192"/>
      <c r="M266" s="192"/>
      <c r="N266" s="192"/>
      <c r="O266" s="192"/>
      <c r="P266" s="192"/>
      <c r="Q266" s="192"/>
    </row>
    <row r="267" spans="1:17" s="27" customFormat="1" ht="25.5">
      <c r="A267" s="9" t="s">
        <v>108</v>
      </c>
      <c r="B267" s="13" t="s">
        <v>68</v>
      </c>
      <c r="C267" s="13" t="s">
        <v>72</v>
      </c>
      <c r="D267" s="13" t="s">
        <v>718</v>
      </c>
      <c r="E267" s="13" t="s">
        <v>109</v>
      </c>
      <c r="F267" s="14">
        <f>'пр. 4 Вед'!G177</f>
        <v>308.2</v>
      </c>
      <c r="G267" s="14">
        <f>'пр. 4 Вед'!H177</f>
        <v>66.7</v>
      </c>
      <c r="H267" s="14">
        <f t="shared" si="32"/>
        <v>241.5</v>
      </c>
      <c r="I267" s="77">
        <f t="shared" si="33"/>
        <v>21.64179104477612</v>
      </c>
      <c r="L267" s="192"/>
      <c r="M267" s="192"/>
      <c r="N267" s="192"/>
      <c r="O267" s="192"/>
      <c r="P267" s="192"/>
      <c r="Q267" s="192"/>
    </row>
    <row r="268" spans="1:17" s="27" customFormat="1" ht="25.5">
      <c r="A268" s="46" t="s">
        <v>358</v>
      </c>
      <c r="B268" s="13" t="s">
        <v>68</v>
      </c>
      <c r="C268" s="13" t="s">
        <v>72</v>
      </c>
      <c r="D268" s="45" t="s">
        <v>195</v>
      </c>
      <c r="E268" s="13"/>
      <c r="F268" s="14">
        <f aca="true" t="shared" si="34" ref="F268:G271">F269</f>
        <v>500</v>
      </c>
      <c r="G268" s="14">
        <f t="shared" si="34"/>
        <v>500</v>
      </c>
      <c r="H268" s="14">
        <f t="shared" si="32"/>
        <v>0</v>
      </c>
      <c r="I268" s="77">
        <f t="shared" si="33"/>
        <v>100</v>
      </c>
      <c r="L268" s="192"/>
      <c r="M268" s="192"/>
      <c r="N268" s="192"/>
      <c r="O268" s="192"/>
      <c r="P268" s="192"/>
      <c r="Q268" s="192"/>
    </row>
    <row r="269" spans="1:17" s="27" customFormat="1" ht="12.75">
      <c r="A269" s="46" t="s">
        <v>286</v>
      </c>
      <c r="B269" s="13" t="s">
        <v>68</v>
      </c>
      <c r="C269" s="13" t="s">
        <v>72</v>
      </c>
      <c r="D269" s="45" t="s">
        <v>445</v>
      </c>
      <c r="E269" s="13"/>
      <c r="F269" s="14">
        <f t="shared" si="34"/>
        <v>500</v>
      </c>
      <c r="G269" s="14">
        <f t="shared" si="34"/>
        <v>500</v>
      </c>
      <c r="H269" s="14">
        <f t="shared" si="32"/>
        <v>0</v>
      </c>
      <c r="I269" s="77">
        <f t="shared" si="33"/>
        <v>100</v>
      </c>
      <c r="L269" s="192"/>
      <c r="M269" s="192"/>
      <c r="N269" s="192"/>
      <c r="O269" s="192"/>
      <c r="P269" s="192"/>
      <c r="Q269" s="192"/>
    </row>
    <row r="270" spans="1:17" s="27" customFormat="1" ht="25.5">
      <c r="A270" s="46" t="s">
        <v>194</v>
      </c>
      <c r="B270" s="13" t="s">
        <v>68</v>
      </c>
      <c r="C270" s="13" t="s">
        <v>72</v>
      </c>
      <c r="D270" s="45" t="s">
        <v>446</v>
      </c>
      <c r="E270" s="13"/>
      <c r="F270" s="14">
        <f t="shared" si="34"/>
        <v>500</v>
      </c>
      <c r="G270" s="14">
        <f t="shared" si="34"/>
        <v>500</v>
      </c>
      <c r="H270" s="14">
        <f t="shared" si="32"/>
        <v>0</v>
      </c>
      <c r="I270" s="77">
        <f t="shared" si="33"/>
        <v>100</v>
      </c>
      <c r="L270" s="192"/>
      <c r="M270" s="192"/>
      <c r="N270" s="192"/>
      <c r="O270" s="192"/>
      <c r="P270" s="192"/>
      <c r="Q270" s="192"/>
    </row>
    <row r="271" spans="1:17" s="27" customFormat="1" ht="12.75">
      <c r="A271" s="46" t="s">
        <v>137</v>
      </c>
      <c r="B271" s="13" t="s">
        <v>68</v>
      </c>
      <c r="C271" s="13" t="s">
        <v>72</v>
      </c>
      <c r="D271" s="45" t="s">
        <v>446</v>
      </c>
      <c r="E271" s="13" t="s">
        <v>138</v>
      </c>
      <c r="F271" s="14">
        <f t="shared" si="34"/>
        <v>500</v>
      </c>
      <c r="G271" s="14">
        <f t="shared" si="34"/>
        <v>500</v>
      </c>
      <c r="H271" s="14">
        <f t="shared" si="32"/>
        <v>0</v>
      </c>
      <c r="I271" s="77">
        <f t="shared" si="33"/>
        <v>100</v>
      </c>
      <c r="L271" s="192"/>
      <c r="M271" s="192"/>
      <c r="N271" s="192"/>
      <c r="O271" s="192"/>
      <c r="P271" s="192"/>
      <c r="Q271" s="192"/>
    </row>
    <row r="272" spans="1:17" s="27" customFormat="1" ht="25.5">
      <c r="A272" s="46" t="s">
        <v>182</v>
      </c>
      <c r="B272" s="13" t="s">
        <v>68</v>
      </c>
      <c r="C272" s="13" t="s">
        <v>72</v>
      </c>
      <c r="D272" s="45" t="s">
        <v>446</v>
      </c>
      <c r="E272" s="13" t="s">
        <v>139</v>
      </c>
      <c r="F272" s="14">
        <f>'пр. 4 Вед'!G447</f>
        <v>500</v>
      </c>
      <c r="G272" s="14">
        <f>'пр. 4 Вед'!H447</f>
        <v>500</v>
      </c>
      <c r="H272" s="14">
        <f t="shared" si="32"/>
        <v>0</v>
      </c>
      <c r="I272" s="77">
        <f t="shared" si="33"/>
        <v>100</v>
      </c>
      <c r="L272" s="192"/>
      <c r="M272" s="192"/>
      <c r="N272" s="192"/>
      <c r="O272" s="192"/>
      <c r="P272" s="192"/>
      <c r="Q272" s="192"/>
    </row>
    <row r="273" spans="1:17" s="27" customFormat="1" ht="12.75">
      <c r="A273" s="60" t="s">
        <v>579</v>
      </c>
      <c r="B273" s="37" t="s">
        <v>68</v>
      </c>
      <c r="C273" s="37" t="s">
        <v>76</v>
      </c>
      <c r="D273" s="29"/>
      <c r="E273" s="29"/>
      <c r="F273" s="30">
        <f>F274+F285+F291</f>
        <v>143551.2</v>
      </c>
      <c r="G273" s="30">
        <f>G274+G285+G291</f>
        <v>143551.1</v>
      </c>
      <c r="H273" s="30">
        <f t="shared" si="32"/>
        <v>0.10000000000582077</v>
      </c>
      <c r="I273" s="82">
        <f t="shared" si="33"/>
        <v>99.9999303384437</v>
      </c>
      <c r="L273" s="192"/>
      <c r="M273" s="192"/>
      <c r="N273" s="192"/>
      <c r="O273" s="192"/>
      <c r="P273" s="192"/>
      <c r="Q273" s="192"/>
    </row>
    <row r="274" spans="1:17" s="27" customFormat="1" ht="25.5">
      <c r="A274" s="46" t="s">
        <v>580</v>
      </c>
      <c r="B274" s="12" t="s">
        <v>68</v>
      </c>
      <c r="C274" s="12" t="s">
        <v>76</v>
      </c>
      <c r="D274" s="13" t="s">
        <v>581</v>
      </c>
      <c r="E274" s="29"/>
      <c r="F274" s="14">
        <f>F275</f>
        <v>142906.2</v>
      </c>
      <c r="G274" s="14">
        <f>G275</f>
        <v>142906.1</v>
      </c>
      <c r="H274" s="14">
        <f t="shared" si="32"/>
        <v>0.10000000000582077</v>
      </c>
      <c r="I274" s="77">
        <f t="shared" si="33"/>
        <v>99.99993002402975</v>
      </c>
      <c r="L274" s="192"/>
      <c r="M274" s="192"/>
      <c r="N274" s="192"/>
      <c r="O274" s="192"/>
      <c r="P274" s="192"/>
      <c r="Q274" s="192"/>
    </row>
    <row r="275" spans="1:17" s="27" customFormat="1" ht="25.5">
      <c r="A275" s="46" t="s">
        <v>582</v>
      </c>
      <c r="B275" s="12" t="s">
        <v>68</v>
      </c>
      <c r="C275" s="12" t="s">
        <v>76</v>
      </c>
      <c r="D275" s="13" t="s">
        <v>583</v>
      </c>
      <c r="E275" s="29"/>
      <c r="F275" s="14">
        <f>F276</f>
        <v>142906.2</v>
      </c>
      <c r="G275" s="14">
        <f>G276</f>
        <v>142906.1</v>
      </c>
      <c r="H275" s="14">
        <f t="shared" si="32"/>
        <v>0.10000000000582077</v>
      </c>
      <c r="I275" s="77">
        <f t="shared" si="33"/>
        <v>99.99993002402975</v>
      </c>
      <c r="L275" s="192"/>
      <c r="M275" s="192"/>
      <c r="N275" s="192"/>
      <c r="O275" s="192"/>
      <c r="P275" s="192"/>
      <c r="Q275" s="192"/>
    </row>
    <row r="276" spans="1:17" s="27" customFormat="1" ht="25.5">
      <c r="A276" s="46" t="s">
        <v>584</v>
      </c>
      <c r="B276" s="12" t="s">
        <v>68</v>
      </c>
      <c r="C276" s="12" t="s">
        <v>76</v>
      </c>
      <c r="D276" s="13" t="s">
        <v>585</v>
      </c>
      <c r="E276" s="29"/>
      <c r="F276" s="14">
        <f>F277+F281</f>
        <v>142906.2</v>
      </c>
      <c r="G276" s="14">
        <f>G277+G281</f>
        <v>142906.1</v>
      </c>
      <c r="H276" s="14">
        <f t="shared" si="32"/>
        <v>0.10000000000582077</v>
      </c>
      <c r="I276" s="77">
        <f t="shared" si="33"/>
        <v>99.99993002402975</v>
      </c>
      <c r="L276" s="192"/>
      <c r="M276" s="192"/>
      <c r="N276" s="192"/>
      <c r="O276" s="192"/>
      <c r="P276" s="192"/>
      <c r="Q276" s="192"/>
    </row>
    <row r="277" spans="1:17" s="27" customFormat="1" ht="25.5">
      <c r="A277" s="9" t="s">
        <v>623</v>
      </c>
      <c r="B277" s="12" t="s">
        <v>68</v>
      </c>
      <c r="C277" s="12" t="s">
        <v>76</v>
      </c>
      <c r="D277" s="13" t="s">
        <v>624</v>
      </c>
      <c r="E277" s="29"/>
      <c r="F277" s="14">
        <f aca="true" t="shared" si="35" ref="F277:G279">F278</f>
        <v>119212</v>
      </c>
      <c r="G277" s="14">
        <f t="shared" si="35"/>
        <v>119212</v>
      </c>
      <c r="H277" s="14">
        <f t="shared" si="32"/>
        <v>0</v>
      </c>
      <c r="I277" s="77">
        <f t="shared" si="33"/>
        <v>100</v>
      </c>
      <c r="L277" s="192"/>
      <c r="M277" s="192"/>
      <c r="N277" s="192"/>
      <c r="O277" s="192"/>
      <c r="P277" s="192"/>
      <c r="Q277" s="192"/>
    </row>
    <row r="278" spans="1:17" s="27" customFormat="1" ht="12.75">
      <c r="A278" s="9" t="s">
        <v>632</v>
      </c>
      <c r="B278" s="12" t="s">
        <v>68</v>
      </c>
      <c r="C278" s="12" t="s">
        <v>76</v>
      </c>
      <c r="D278" s="13" t="s">
        <v>624</v>
      </c>
      <c r="E278" s="13" t="s">
        <v>634</v>
      </c>
      <c r="F278" s="14">
        <f t="shared" si="35"/>
        <v>119212</v>
      </c>
      <c r="G278" s="14">
        <f t="shared" si="35"/>
        <v>119212</v>
      </c>
      <c r="H278" s="14">
        <f t="shared" si="32"/>
        <v>0</v>
      </c>
      <c r="I278" s="77">
        <f t="shared" si="33"/>
        <v>100</v>
      </c>
      <c r="L278" s="192"/>
      <c r="M278" s="192"/>
      <c r="N278" s="192"/>
      <c r="O278" s="192"/>
      <c r="P278" s="192"/>
      <c r="Q278" s="192"/>
    </row>
    <row r="279" spans="1:17" s="27" customFormat="1" ht="12.75">
      <c r="A279" s="9" t="s">
        <v>633</v>
      </c>
      <c r="B279" s="12" t="s">
        <v>68</v>
      </c>
      <c r="C279" s="12" t="s">
        <v>76</v>
      </c>
      <c r="D279" s="13" t="s">
        <v>624</v>
      </c>
      <c r="E279" s="13" t="s">
        <v>635</v>
      </c>
      <c r="F279" s="14">
        <f t="shared" si="35"/>
        <v>119212</v>
      </c>
      <c r="G279" s="14">
        <f t="shared" si="35"/>
        <v>119212</v>
      </c>
      <c r="H279" s="14">
        <f t="shared" si="32"/>
        <v>0</v>
      </c>
      <c r="I279" s="77">
        <f t="shared" si="33"/>
        <v>100</v>
      </c>
      <c r="L279" s="192"/>
      <c r="M279" s="192"/>
      <c r="N279" s="192"/>
      <c r="O279" s="192"/>
      <c r="P279" s="192"/>
      <c r="Q279" s="192"/>
    </row>
    <row r="280" spans="1:17" s="27" customFormat="1" ht="25.5">
      <c r="A280" s="9" t="s">
        <v>733</v>
      </c>
      <c r="B280" s="12" t="s">
        <v>68</v>
      </c>
      <c r="C280" s="12" t="s">
        <v>76</v>
      </c>
      <c r="D280" s="13" t="s">
        <v>624</v>
      </c>
      <c r="E280" s="13" t="s">
        <v>636</v>
      </c>
      <c r="F280" s="14">
        <f>'пр. 4 Вед'!G185</f>
        <v>119212</v>
      </c>
      <c r="G280" s="14">
        <f>'пр. 4 Вед'!H185</f>
        <v>119212</v>
      </c>
      <c r="H280" s="14">
        <f t="shared" si="32"/>
        <v>0</v>
      </c>
      <c r="I280" s="77">
        <f t="shared" si="33"/>
        <v>100</v>
      </c>
      <c r="L280" s="192"/>
      <c r="M280" s="192"/>
      <c r="N280" s="192"/>
      <c r="O280" s="192"/>
      <c r="P280" s="192"/>
      <c r="Q280" s="192"/>
    </row>
    <row r="281" spans="1:17" s="27" customFormat="1" ht="25.5">
      <c r="A281" s="46" t="s">
        <v>614</v>
      </c>
      <c r="B281" s="12" t="s">
        <v>68</v>
      </c>
      <c r="C281" s="12" t="s">
        <v>76</v>
      </c>
      <c r="D281" s="13" t="s">
        <v>586</v>
      </c>
      <c r="E281" s="29"/>
      <c r="F281" s="14">
        <f aca="true" t="shared" si="36" ref="F281:G283">F282</f>
        <v>23694.2</v>
      </c>
      <c r="G281" s="14">
        <f t="shared" si="36"/>
        <v>23694.1</v>
      </c>
      <c r="H281" s="14">
        <f t="shared" si="32"/>
        <v>0.10000000000218279</v>
      </c>
      <c r="I281" s="77">
        <f t="shared" si="33"/>
        <v>99.99957795578663</v>
      </c>
      <c r="L281" s="192"/>
      <c r="M281" s="192"/>
      <c r="N281" s="192"/>
      <c r="O281" s="192"/>
      <c r="P281" s="192"/>
      <c r="Q281" s="192"/>
    </row>
    <row r="282" spans="1:17" s="27" customFormat="1" ht="12.75">
      <c r="A282" s="9" t="s">
        <v>632</v>
      </c>
      <c r="B282" s="12" t="s">
        <v>68</v>
      </c>
      <c r="C282" s="12" t="s">
        <v>76</v>
      </c>
      <c r="D282" s="13" t="s">
        <v>586</v>
      </c>
      <c r="E282" s="13" t="s">
        <v>634</v>
      </c>
      <c r="F282" s="14">
        <f t="shared" si="36"/>
        <v>23694.2</v>
      </c>
      <c r="G282" s="14">
        <f t="shared" si="36"/>
        <v>23694.1</v>
      </c>
      <c r="H282" s="14">
        <f t="shared" si="32"/>
        <v>0.10000000000218279</v>
      </c>
      <c r="I282" s="77">
        <f t="shared" si="33"/>
        <v>99.99957795578663</v>
      </c>
      <c r="L282" s="192"/>
      <c r="M282" s="192"/>
      <c r="N282" s="192"/>
      <c r="O282" s="192"/>
      <c r="P282" s="192"/>
      <c r="Q282" s="192"/>
    </row>
    <row r="283" spans="1:17" s="27" customFormat="1" ht="12.75">
      <c r="A283" s="9" t="s">
        <v>633</v>
      </c>
      <c r="B283" s="12" t="s">
        <v>68</v>
      </c>
      <c r="C283" s="12" t="s">
        <v>76</v>
      </c>
      <c r="D283" s="13" t="s">
        <v>586</v>
      </c>
      <c r="E283" s="13" t="s">
        <v>635</v>
      </c>
      <c r="F283" s="14">
        <f t="shared" si="36"/>
        <v>23694.2</v>
      </c>
      <c r="G283" s="14">
        <f t="shared" si="36"/>
        <v>23694.1</v>
      </c>
      <c r="H283" s="14">
        <f t="shared" si="32"/>
        <v>0.10000000000218279</v>
      </c>
      <c r="I283" s="77">
        <f t="shared" si="33"/>
        <v>99.99957795578663</v>
      </c>
      <c r="L283" s="192"/>
      <c r="M283" s="192"/>
      <c r="N283" s="192"/>
      <c r="O283" s="192"/>
      <c r="P283" s="192"/>
      <c r="Q283" s="192"/>
    </row>
    <row r="284" spans="1:17" s="27" customFormat="1" ht="25.5">
      <c r="A284" s="9" t="s">
        <v>733</v>
      </c>
      <c r="B284" s="12" t="s">
        <v>68</v>
      </c>
      <c r="C284" s="12" t="s">
        <v>76</v>
      </c>
      <c r="D284" s="13" t="s">
        <v>586</v>
      </c>
      <c r="E284" s="13" t="s">
        <v>636</v>
      </c>
      <c r="F284" s="14">
        <f>'пр. 4 Вед'!G189</f>
        <v>23694.2</v>
      </c>
      <c r="G284" s="14">
        <f>'пр. 4 Вед'!H189</f>
        <v>23694.1</v>
      </c>
      <c r="H284" s="14">
        <f t="shared" si="32"/>
        <v>0.10000000000218279</v>
      </c>
      <c r="I284" s="77">
        <f t="shared" si="33"/>
        <v>99.99957795578663</v>
      </c>
      <c r="L284" s="192"/>
      <c r="M284" s="192"/>
      <c r="N284" s="192"/>
      <c r="O284" s="192"/>
      <c r="P284" s="192"/>
      <c r="Q284" s="192"/>
    </row>
    <row r="285" spans="1:17" s="27" customFormat="1" ht="25.5">
      <c r="A285" s="46" t="s">
        <v>599</v>
      </c>
      <c r="B285" s="12" t="s">
        <v>68</v>
      </c>
      <c r="C285" s="12" t="s">
        <v>76</v>
      </c>
      <c r="D285" s="45" t="s">
        <v>601</v>
      </c>
      <c r="E285" s="13"/>
      <c r="F285" s="14">
        <f aca="true" t="shared" si="37" ref="F285:G289">F286</f>
        <v>200</v>
      </c>
      <c r="G285" s="14">
        <f t="shared" si="37"/>
        <v>200</v>
      </c>
      <c r="H285" s="14">
        <f t="shared" si="32"/>
        <v>0</v>
      </c>
      <c r="I285" s="77">
        <f t="shared" si="33"/>
        <v>100</v>
      </c>
      <c r="L285" s="192"/>
      <c r="M285" s="192"/>
      <c r="N285" s="192"/>
      <c r="O285" s="192"/>
      <c r="P285" s="192"/>
      <c r="Q285" s="192"/>
    </row>
    <row r="286" spans="1:17" s="27" customFormat="1" ht="25.5">
      <c r="A286" s="46" t="s">
        <v>600</v>
      </c>
      <c r="B286" s="12" t="s">
        <v>68</v>
      </c>
      <c r="C286" s="12" t="s">
        <v>76</v>
      </c>
      <c r="D286" s="45" t="s">
        <v>602</v>
      </c>
      <c r="E286" s="13"/>
      <c r="F286" s="14">
        <f t="shared" si="37"/>
        <v>200</v>
      </c>
      <c r="G286" s="14">
        <f t="shared" si="37"/>
        <v>200</v>
      </c>
      <c r="H286" s="14">
        <f t="shared" si="32"/>
        <v>0</v>
      </c>
      <c r="I286" s="77">
        <f t="shared" si="33"/>
        <v>100</v>
      </c>
      <c r="L286" s="192"/>
      <c r="M286" s="192"/>
      <c r="N286" s="192"/>
      <c r="O286" s="192"/>
      <c r="P286" s="192"/>
      <c r="Q286" s="192"/>
    </row>
    <row r="287" spans="1:17" s="27" customFormat="1" ht="25.5">
      <c r="A287" s="46" t="s">
        <v>604</v>
      </c>
      <c r="B287" s="12" t="s">
        <v>68</v>
      </c>
      <c r="C287" s="12" t="s">
        <v>76</v>
      </c>
      <c r="D287" s="45" t="s">
        <v>603</v>
      </c>
      <c r="E287" s="13"/>
      <c r="F287" s="14">
        <f t="shared" si="37"/>
        <v>200</v>
      </c>
      <c r="G287" s="14">
        <f t="shared" si="37"/>
        <v>200</v>
      </c>
      <c r="H287" s="14">
        <f t="shared" si="32"/>
        <v>0</v>
      </c>
      <c r="I287" s="77">
        <f t="shared" si="33"/>
        <v>100</v>
      </c>
      <c r="L287" s="192"/>
      <c r="M287" s="192"/>
      <c r="N287" s="192"/>
      <c r="O287" s="192"/>
      <c r="P287" s="192"/>
      <c r="Q287" s="192"/>
    </row>
    <row r="288" spans="1:17" s="27" customFormat="1" ht="12.75">
      <c r="A288" s="9" t="s">
        <v>632</v>
      </c>
      <c r="B288" s="12" t="s">
        <v>68</v>
      </c>
      <c r="C288" s="12" t="s">
        <v>76</v>
      </c>
      <c r="D288" s="45" t="s">
        <v>603</v>
      </c>
      <c r="E288" s="13" t="s">
        <v>634</v>
      </c>
      <c r="F288" s="14">
        <f t="shared" si="37"/>
        <v>200</v>
      </c>
      <c r="G288" s="14">
        <f t="shared" si="37"/>
        <v>200</v>
      </c>
      <c r="H288" s="14">
        <f t="shared" si="32"/>
        <v>0</v>
      </c>
      <c r="I288" s="77">
        <f t="shared" si="33"/>
        <v>100</v>
      </c>
      <c r="L288" s="192"/>
      <c r="M288" s="192"/>
      <c r="N288" s="192"/>
      <c r="O288" s="192"/>
      <c r="P288" s="192"/>
      <c r="Q288" s="192"/>
    </row>
    <row r="289" spans="1:17" s="27" customFormat="1" ht="12.75">
      <c r="A289" s="9" t="s">
        <v>633</v>
      </c>
      <c r="B289" s="12" t="s">
        <v>68</v>
      </c>
      <c r="C289" s="12" t="s">
        <v>76</v>
      </c>
      <c r="D289" s="45" t="s">
        <v>603</v>
      </c>
      <c r="E289" s="13" t="s">
        <v>635</v>
      </c>
      <c r="F289" s="14">
        <f t="shared" si="37"/>
        <v>200</v>
      </c>
      <c r="G289" s="14">
        <f t="shared" si="37"/>
        <v>200</v>
      </c>
      <c r="H289" s="14">
        <f t="shared" si="32"/>
        <v>0</v>
      </c>
      <c r="I289" s="77">
        <f t="shared" si="33"/>
        <v>100</v>
      </c>
      <c r="L289" s="192"/>
      <c r="M289" s="192"/>
      <c r="N289" s="192"/>
      <c r="O289" s="192"/>
      <c r="P289" s="192"/>
      <c r="Q289" s="192"/>
    </row>
    <row r="290" spans="1:17" s="27" customFormat="1" ht="25.5">
      <c r="A290" s="9" t="s">
        <v>733</v>
      </c>
      <c r="B290" s="12" t="s">
        <v>68</v>
      </c>
      <c r="C290" s="12" t="s">
        <v>76</v>
      </c>
      <c r="D290" s="45" t="s">
        <v>603</v>
      </c>
      <c r="E290" s="13" t="s">
        <v>636</v>
      </c>
      <c r="F290" s="14">
        <f>'пр. 4 Вед'!G195</f>
        <v>200</v>
      </c>
      <c r="G290" s="14">
        <f>'пр. 4 Вед'!H195</f>
        <v>200</v>
      </c>
      <c r="H290" s="14">
        <f t="shared" si="32"/>
        <v>0</v>
      </c>
      <c r="I290" s="77">
        <f t="shared" si="33"/>
        <v>100</v>
      </c>
      <c r="L290" s="192"/>
      <c r="M290" s="192"/>
      <c r="N290" s="192"/>
      <c r="O290" s="192"/>
      <c r="P290" s="192"/>
      <c r="Q290" s="192"/>
    </row>
    <row r="291" spans="1:17" s="27" customFormat="1" ht="25.5">
      <c r="A291" s="9" t="s">
        <v>684</v>
      </c>
      <c r="B291" s="12" t="s">
        <v>68</v>
      </c>
      <c r="C291" s="12" t="s">
        <v>76</v>
      </c>
      <c r="D291" s="13" t="s">
        <v>685</v>
      </c>
      <c r="E291" s="29"/>
      <c r="F291" s="14">
        <f>F292</f>
        <v>445</v>
      </c>
      <c r="G291" s="14">
        <f>G292</f>
        <v>445</v>
      </c>
      <c r="H291" s="14">
        <f t="shared" si="32"/>
        <v>0</v>
      </c>
      <c r="I291" s="77">
        <f t="shared" si="33"/>
        <v>100</v>
      </c>
      <c r="L291" s="192"/>
      <c r="M291" s="192"/>
      <c r="N291" s="192"/>
      <c r="O291" s="192"/>
      <c r="P291" s="192"/>
      <c r="Q291" s="192"/>
    </row>
    <row r="292" spans="1:17" s="27" customFormat="1" ht="25.5">
      <c r="A292" s="9" t="s">
        <v>686</v>
      </c>
      <c r="B292" s="12" t="s">
        <v>68</v>
      </c>
      <c r="C292" s="12" t="s">
        <v>76</v>
      </c>
      <c r="D292" s="13" t="s">
        <v>687</v>
      </c>
      <c r="E292" s="29"/>
      <c r="F292" s="14">
        <f>F293+F297</f>
        <v>445</v>
      </c>
      <c r="G292" s="14">
        <f>G293+G297</f>
        <v>445</v>
      </c>
      <c r="H292" s="14">
        <f t="shared" si="32"/>
        <v>0</v>
      </c>
      <c r="I292" s="77">
        <f t="shared" si="33"/>
        <v>100</v>
      </c>
      <c r="L292" s="192"/>
      <c r="M292" s="192"/>
      <c r="N292" s="192"/>
      <c r="O292" s="192"/>
      <c r="P292" s="192"/>
      <c r="Q292" s="192"/>
    </row>
    <row r="293" spans="1:17" s="27" customFormat="1" ht="38.25">
      <c r="A293" s="9" t="s">
        <v>688</v>
      </c>
      <c r="B293" s="12" t="s">
        <v>68</v>
      </c>
      <c r="C293" s="12" t="s">
        <v>76</v>
      </c>
      <c r="D293" s="13" t="s">
        <v>689</v>
      </c>
      <c r="E293" s="29"/>
      <c r="F293" s="14">
        <f aca="true" t="shared" si="38" ref="F293:G295">F294</f>
        <v>429</v>
      </c>
      <c r="G293" s="14">
        <f t="shared" si="38"/>
        <v>429</v>
      </c>
      <c r="H293" s="14">
        <f t="shared" si="32"/>
        <v>0</v>
      </c>
      <c r="I293" s="77">
        <f t="shared" si="33"/>
        <v>100</v>
      </c>
      <c r="L293" s="192"/>
      <c r="M293" s="192"/>
      <c r="N293" s="192"/>
      <c r="O293" s="192"/>
      <c r="P293" s="192"/>
      <c r="Q293" s="192"/>
    </row>
    <row r="294" spans="1:17" s="27" customFormat="1" ht="12.75">
      <c r="A294" s="46" t="s">
        <v>770</v>
      </c>
      <c r="B294" s="12" t="s">
        <v>68</v>
      </c>
      <c r="C294" s="12" t="s">
        <v>76</v>
      </c>
      <c r="D294" s="13" t="s">
        <v>689</v>
      </c>
      <c r="E294" s="13" t="s">
        <v>113</v>
      </c>
      <c r="F294" s="14">
        <f t="shared" si="38"/>
        <v>429</v>
      </c>
      <c r="G294" s="14">
        <f t="shared" si="38"/>
        <v>429</v>
      </c>
      <c r="H294" s="14">
        <f t="shared" si="32"/>
        <v>0</v>
      </c>
      <c r="I294" s="77">
        <f t="shared" si="33"/>
        <v>100</v>
      </c>
      <c r="L294" s="192"/>
      <c r="M294" s="192"/>
      <c r="N294" s="192"/>
      <c r="O294" s="192"/>
      <c r="P294" s="192"/>
      <c r="Q294" s="192"/>
    </row>
    <row r="295" spans="1:17" s="27" customFormat="1" ht="25.5">
      <c r="A295" s="9" t="s">
        <v>106</v>
      </c>
      <c r="B295" s="12" t="s">
        <v>68</v>
      </c>
      <c r="C295" s="12" t="s">
        <v>76</v>
      </c>
      <c r="D295" s="13" t="s">
        <v>689</v>
      </c>
      <c r="E295" s="13" t="s">
        <v>107</v>
      </c>
      <c r="F295" s="14">
        <f t="shared" si="38"/>
        <v>429</v>
      </c>
      <c r="G295" s="14">
        <f t="shared" si="38"/>
        <v>429</v>
      </c>
      <c r="H295" s="14">
        <f t="shared" si="32"/>
        <v>0</v>
      </c>
      <c r="I295" s="77">
        <f t="shared" si="33"/>
        <v>100</v>
      </c>
      <c r="L295" s="192"/>
      <c r="M295" s="192"/>
      <c r="N295" s="192"/>
      <c r="O295" s="192"/>
      <c r="P295" s="192"/>
      <c r="Q295" s="192"/>
    </row>
    <row r="296" spans="1:17" s="27" customFormat="1" ht="25.5">
      <c r="A296" s="9" t="s">
        <v>108</v>
      </c>
      <c r="B296" s="12" t="s">
        <v>68</v>
      </c>
      <c r="C296" s="12" t="s">
        <v>76</v>
      </c>
      <c r="D296" s="13" t="s">
        <v>689</v>
      </c>
      <c r="E296" s="13" t="s">
        <v>109</v>
      </c>
      <c r="F296" s="14">
        <f>'пр. 4 Вед'!G1158</f>
        <v>429</v>
      </c>
      <c r="G296" s="14">
        <f>'пр. 4 Вед'!H1158</f>
        <v>429</v>
      </c>
      <c r="H296" s="14">
        <f t="shared" si="32"/>
        <v>0</v>
      </c>
      <c r="I296" s="77">
        <f t="shared" si="33"/>
        <v>100</v>
      </c>
      <c r="L296" s="192"/>
      <c r="M296" s="192"/>
      <c r="N296" s="192"/>
      <c r="O296" s="192"/>
      <c r="P296" s="192"/>
      <c r="Q296" s="192"/>
    </row>
    <row r="297" spans="1:17" s="27" customFormat="1" ht="25.5">
      <c r="A297" s="9" t="s">
        <v>690</v>
      </c>
      <c r="B297" s="12" t="s">
        <v>68</v>
      </c>
      <c r="C297" s="12" t="s">
        <v>76</v>
      </c>
      <c r="D297" s="13" t="s">
        <v>691</v>
      </c>
      <c r="E297" s="29"/>
      <c r="F297" s="14">
        <f aca="true" t="shared" si="39" ref="F297:G299">F298</f>
        <v>16</v>
      </c>
      <c r="G297" s="14">
        <f t="shared" si="39"/>
        <v>16</v>
      </c>
      <c r="H297" s="14">
        <f t="shared" si="32"/>
        <v>0</v>
      </c>
      <c r="I297" s="77">
        <f t="shared" si="33"/>
        <v>100</v>
      </c>
      <c r="L297" s="192"/>
      <c r="M297" s="192"/>
      <c r="N297" s="192"/>
      <c r="O297" s="192"/>
      <c r="P297" s="192"/>
      <c r="Q297" s="192"/>
    </row>
    <row r="298" spans="1:17" s="27" customFormat="1" ht="12.75">
      <c r="A298" s="46" t="s">
        <v>770</v>
      </c>
      <c r="B298" s="12" t="s">
        <v>68</v>
      </c>
      <c r="C298" s="12" t="s">
        <v>76</v>
      </c>
      <c r="D298" s="13" t="s">
        <v>691</v>
      </c>
      <c r="E298" s="13" t="s">
        <v>113</v>
      </c>
      <c r="F298" s="14">
        <f t="shared" si="39"/>
        <v>16</v>
      </c>
      <c r="G298" s="14">
        <f t="shared" si="39"/>
        <v>16</v>
      </c>
      <c r="H298" s="14">
        <f t="shared" si="32"/>
        <v>0</v>
      </c>
      <c r="I298" s="77">
        <f t="shared" si="33"/>
        <v>100</v>
      </c>
      <c r="L298" s="192"/>
      <c r="M298" s="192"/>
      <c r="N298" s="192"/>
      <c r="O298" s="192"/>
      <c r="P298" s="192"/>
      <c r="Q298" s="192"/>
    </row>
    <row r="299" spans="1:17" s="27" customFormat="1" ht="25.5">
      <c r="A299" s="9" t="s">
        <v>106</v>
      </c>
      <c r="B299" s="12" t="s">
        <v>68</v>
      </c>
      <c r="C299" s="12" t="s">
        <v>76</v>
      </c>
      <c r="D299" s="13" t="s">
        <v>691</v>
      </c>
      <c r="E299" s="13" t="s">
        <v>107</v>
      </c>
      <c r="F299" s="14">
        <f t="shared" si="39"/>
        <v>16</v>
      </c>
      <c r="G299" s="14">
        <f t="shared" si="39"/>
        <v>16</v>
      </c>
      <c r="H299" s="14">
        <f t="shared" si="32"/>
        <v>0</v>
      </c>
      <c r="I299" s="77">
        <f t="shared" si="33"/>
        <v>100</v>
      </c>
      <c r="L299" s="192"/>
      <c r="M299" s="192"/>
      <c r="N299" s="192"/>
      <c r="O299" s="192"/>
      <c r="P299" s="192"/>
      <c r="Q299" s="192"/>
    </row>
    <row r="300" spans="1:17" s="27" customFormat="1" ht="25.5">
      <c r="A300" s="9" t="s">
        <v>108</v>
      </c>
      <c r="B300" s="12" t="s">
        <v>68</v>
      </c>
      <c r="C300" s="12" t="s">
        <v>76</v>
      </c>
      <c r="D300" s="13" t="s">
        <v>691</v>
      </c>
      <c r="E300" s="13" t="s">
        <v>109</v>
      </c>
      <c r="F300" s="14">
        <f>'пр. 4 Вед'!G1162</f>
        <v>16</v>
      </c>
      <c r="G300" s="14">
        <f>'пр. 4 Вед'!H1162</f>
        <v>16</v>
      </c>
      <c r="H300" s="14">
        <f t="shared" si="32"/>
        <v>0</v>
      </c>
      <c r="I300" s="77">
        <f t="shared" si="33"/>
        <v>100</v>
      </c>
      <c r="L300" s="192"/>
      <c r="M300" s="192"/>
      <c r="N300" s="192"/>
      <c r="O300" s="192"/>
      <c r="P300" s="192"/>
      <c r="Q300" s="192"/>
    </row>
    <row r="301" spans="1:17" s="27" customFormat="1" ht="12.75">
      <c r="A301" s="60" t="s">
        <v>6</v>
      </c>
      <c r="B301" s="29" t="s">
        <v>68</v>
      </c>
      <c r="C301" s="29" t="s">
        <v>73</v>
      </c>
      <c r="D301" s="29"/>
      <c r="E301" s="29"/>
      <c r="F301" s="30">
        <f aca="true" t="shared" si="40" ref="F301:G304">F302</f>
        <v>6370</v>
      </c>
      <c r="G301" s="30">
        <f t="shared" si="40"/>
        <v>6370</v>
      </c>
      <c r="H301" s="30">
        <f t="shared" si="32"/>
        <v>0</v>
      </c>
      <c r="I301" s="82">
        <f t="shared" si="33"/>
        <v>100</v>
      </c>
      <c r="L301" s="192"/>
      <c r="M301" s="192"/>
      <c r="N301" s="192"/>
      <c r="O301" s="192"/>
      <c r="P301" s="192"/>
      <c r="Q301" s="192"/>
    </row>
    <row r="302" spans="1:17" s="27" customFormat="1" ht="12.75">
      <c r="A302" s="46" t="s">
        <v>37</v>
      </c>
      <c r="B302" s="13" t="s">
        <v>68</v>
      </c>
      <c r="C302" s="13" t="s">
        <v>73</v>
      </c>
      <c r="D302" s="13" t="s">
        <v>270</v>
      </c>
      <c r="E302" s="13"/>
      <c r="F302" s="14">
        <f t="shared" si="40"/>
        <v>6370</v>
      </c>
      <c r="G302" s="14">
        <f t="shared" si="40"/>
        <v>6370</v>
      </c>
      <c r="H302" s="14">
        <f t="shared" si="32"/>
        <v>0</v>
      </c>
      <c r="I302" s="77">
        <f t="shared" si="33"/>
        <v>100</v>
      </c>
      <c r="L302" s="192"/>
      <c r="M302" s="192"/>
      <c r="N302" s="192"/>
      <c r="O302" s="192"/>
      <c r="P302" s="192"/>
      <c r="Q302" s="192"/>
    </row>
    <row r="303" spans="1:17" s="27" customFormat="1" ht="12.75">
      <c r="A303" s="46" t="s">
        <v>551</v>
      </c>
      <c r="B303" s="13" t="s">
        <v>68</v>
      </c>
      <c r="C303" s="13" t="s">
        <v>73</v>
      </c>
      <c r="D303" s="13" t="s">
        <v>550</v>
      </c>
      <c r="E303" s="13"/>
      <c r="F303" s="14">
        <f t="shared" si="40"/>
        <v>6370</v>
      </c>
      <c r="G303" s="14">
        <f t="shared" si="40"/>
        <v>6370</v>
      </c>
      <c r="H303" s="14">
        <f t="shared" si="32"/>
        <v>0</v>
      </c>
      <c r="I303" s="77">
        <f t="shared" si="33"/>
        <v>100</v>
      </c>
      <c r="L303" s="192"/>
      <c r="M303" s="192"/>
      <c r="N303" s="192"/>
      <c r="O303" s="192"/>
      <c r="P303" s="192"/>
      <c r="Q303" s="192"/>
    </row>
    <row r="304" spans="1:17" s="27" customFormat="1" ht="12.75">
      <c r="A304" s="46" t="s">
        <v>137</v>
      </c>
      <c r="B304" s="13" t="s">
        <v>68</v>
      </c>
      <c r="C304" s="13" t="s">
        <v>73</v>
      </c>
      <c r="D304" s="13" t="s">
        <v>550</v>
      </c>
      <c r="E304" s="13" t="s">
        <v>138</v>
      </c>
      <c r="F304" s="14">
        <f t="shared" si="40"/>
        <v>6370</v>
      </c>
      <c r="G304" s="14">
        <f t="shared" si="40"/>
        <v>6370</v>
      </c>
      <c r="H304" s="14">
        <f t="shared" si="32"/>
        <v>0</v>
      </c>
      <c r="I304" s="77">
        <f t="shared" si="33"/>
        <v>100</v>
      </c>
      <c r="L304" s="192"/>
      <c r="M304" s="192"/>
      <c r="N304" s="192"/>
      <c r="O304" s="192"/>
      <c r="P304" s="192"/>
      <c r="Q304" s="192"/>
    </row>
    <row r="305" spans="1:17" s="27" customFormat="1" ht="25.5">
      <c r="A305" s="46" t="s">
        <v>182</v>
      </c>
      <c r="B305" s="13" t="s">
        <v>68</v>
      </c>
      <c r="C305" s="13" t="s">
        <v>73</v>
      </c>
      <c r="D305" s="13" t="s">
        <v>550</v>
      </c>
      <c r="E305" s="13" t="s">
        <v>139</v>
      </c>
      <c r="F305" s="14">
        <f>'пр. 4 Вед'!G452</f>
        <v>6370</v>
      </c>
      <c r="G305" s="14">
        <f>'пр. 4 Вед'!H452</f>
        <v>6370</v>
      </c>
      <c r="H305" s="14">
        <f t="shared" si="32"/>
        <v>0</v>
      </c>
      <c r="I305" s="77">
        <f t="shared" si="33"/>
        <v>100</v>
      </c>
      <c r="L305" s="192"/>
      <c r="M305" s="192"/>
      <c r="N305" s="192"/>
      <c r="O305" s="192"/>
      <c r="P305" s="192"/>
      <c r="Q305" s="192"/>
    </row>
    <row r="306" spans="1:17" s="27" customFormat="1" ht="12.75">
      <c r="A306" s="60" t="s">
        <v>84</v>
      </c>
      <c r="B306" s="29" t="s">
        <v>68</v>
      </c>
      <c r="C306" s="29" t="s">
        <v>75</v>
      </c>
      <c r="D306" s="29"/>
      <c r="E306" s="29"/>
      <c r="F306" s="30">
        <f>F313+F307</f>
        <v>14589.8</v>
      </c>
      <c r="G306" s="30">
        <f>G313+G307</f>
        <v>14461.400000000001</v>
      </c>
      <c r="H306" s="30">
        <f t="shared" si="32"/>
        <v>128.39999999999782</v>
      </c>
      <c r="I306" s="82">
        <f t="shared" si="33"/>
        <v>99.11993310394935</v>
      </c>
      <c r="L306" s="192"/>
      <c r="M306" s="192"/>
      <c r="N306" s="192"/>
      <c r="O306" s="192"/>
      <c r="P306" s="192"/>
      <c r="Q306" s="192"/>
    </row>
    <row r="307" spans="1:17" s="27" customFormat="1" ht="25.5">
      <c r="A307" s="25" t="s">
        <v>630</v>
      </c>
      <c r="B307" s="13" t="s">
        <v>68</v>
      </c>
      <c r="C307" s="13" t="s">
        <v>75</v>
      </c>
      <c r="D307" s="45" t="s">
        <v>654</v>
      </c>
      <c r="E307" s="13"/>
      <c r="F307" s="14">
        <f aca="true" t="shared" si="41" ref="F307:G311">F308</f>
        <v>3357.8</v>
      </c>
      <c r="G307" s="14">
        <f t="shared" si="41"/>
        <v>3357.8</v>
      </c>
      <c r="H307" s="14">
        <f t="shared" si="32"/>
        <v>0</v>
      </c>
      <c r="I307" s="77">
        <f t="shared" si="33"/>
        <v>100</v>
      </c>
      <c r="L307" s="192"/>
      <c r="M307" s="192"/>
      <c r="N307" s="192"/>
      <c r="O307" s="192"/>
      <c r="P307" s="192"/>
      <c r="Q307" s="192"/>
    </row>
    <row r="308" spans="1:17" s="27" customFormat="1" ht="12.75">
      <c r="A308" s="25" t="s">
        <v>372</v>
      </c>
      <c r="B308" s="13" t="s">
        <v>68</v>
      </c>
      <c r="C308" s="13" t="s">
        <v>75</v>
      </c>
      <c r="D308" s="45" t="s">
        <v>655</v>
      </c>
      <c r="E308" s="13"/>
      <c r="F308" s="14">
        <f t="shared" si="41"/>
        <v>3357.8</v>
      </c>
      <c r="G308" s="14">
        <f t="shared" si="41"/>
        <v>3357.8</v>
      </c>
      <c r="H308" s="14">
        <f t="shared" si="32"/>
        <v>0</v>
      </c>
      <c r="I308" s="77">
        <f t="shared" si="33"/>
        <v>100</v>
      </c>
      <c r="L308" s="192"/>
      <c r="M308" s="192"/>
      <c r="N308" s="192"/>
      <c r="O308" s="192"/>
      <c r="P308" s="192"/>
      <c r="Q308" s="192"/>
    </row>
    <row r="309" spans="1:17" s="27" customFormat="1" ht="25.5">
      <c r="A309" s="25" t="s">
        <v>631</v>
      </c>
      <c r="B309" s="13" t="s">
        <v>68</v>
      </c>
      <c r="C309" s="13" t="s">
        <v>75</v>
      </c>
      <c r="D309" s="45" t="s">
        <v>656</v>
      </c>
      <c r="E309" s="13"/>
      <c r="F309" s="14">
        <f t="shared" si="41"/>
        <v>3357.8</v>
      </c>
      <c r="G309" s="14">
        <f t="shared" si="41"/>
        <v>3357.8</v>
      </c>
      <c r="H309" s="14">
        <f t="shared" si="32"/>
        <v>0</v>
      </c>
      <c r="I309" s="77">
        <f t="shared" si="33"/>
        <v>100</v>
      </c>
      <c r="L309" s="192"/>
      <c r="M309" s="192"/>
      <c r="N309" s="192"/>
      <c r="O309" s="192"/>
      <c r="P309" s="192"/>
      <c r="Q309" s="192"/>
    </row>
    <row r="310" spans="1:17" s="27" customFormat="1" ht="12.75">
      <c r="A310" s="46" t="s">
        <v>770</v>
      </c>
      <c r="B310" s="13" t="s">
        <v>68</v>
      </c>
      <c r="C310" s="13" t="s">
        <v>75</v>
      </c>
      <c r="D310" s="45" t="s">
        <v>656</v>
      </c>
      <c r="E310" s="13" t="s">
        <v>113</v>
      </c>
      <c r="F310" s="14">
        <f t="shared" si="41"/>
        <v>3357.8</v>
      </c>
      <c r="G310" s="14">
        <f t="shared" si="41"/>
        <v>3357.8</v>
      </c>
      <c r="H310" s="14">
        <f t="shared" si="32"/>
        <v>0</v>
      </c>
      <c r="I310" s="77">
        <f t="shared" si="33"/>
        <v>100</v>
      </c>
      <c r="L310" s="192"/>
      <c r="M310" s="192"/>
      <c r="N310" s="192"/>
      <c r="O310" s="192"/>
      <c r="P310" s="192"/>
      <c r="Q310" s="192"/>
    </row>
    <row r="311" spans="1:17" s="27" customFormat="1" ht="26.25" customHeight="1">
      <c r="A311" s="9" t="s">
        <v>106</v>
      </c>
      <c r="B311" s="13" t="s">
        <v>68</v>
      </c>
      <c r="C311" s="13" t="s">
        <v>75</v>
      </c>
      <c r="D311" s="45" t="s">
        <v>656</v>
      </c>
      <c r="E311" s="13" t="s">
        <v>107</v>
      </c>
      <c r="F311" s="14">
        <f t="shared" si="41"/>
        <v>3357.8</v>
      </c>
      <c r="G311" s="14">
        <f t="shared" si="41"/>
        <v>3357.8</v>
      </c>
      <c r="H311" s="14">
        <f t="shared" si="32"/>
        <v>0</v>
      </c>
      <c r="I311" s="77">
        <f t="shared" si="33"/>
        <v>100</v>
      </c>
      <c r="L311" s="192"/>
      <c r="M311" s="192"/>
      <c r="N311" s="192"/>
      <c r="O311" s="192"/>
      <c r="P311" s="192"/>
      <c r="Q311" s="192"/>
    </row>
    <row r="312" spans="1:17" s="27" customFormat="1" ht="25.5" customHeight="1">
      <c r="A312" s="9" t="s">
        <v>108</v>
      </c>
      <c r="B312" s="13" t="s">
        <v>68</v>
      </c>
      <c r="C312" s="13" t="s">
        <v>75</v>
      </c>
      <c r="D312" s="45" t="s">
        <v>656</v>
      </c>
      <c r="E312" s="13" t="s">
        <v>109</v>
      </c>
      <c r="F312" s="14">
        <f>'пр. 4 Вед'!G1169</f>
        <v>3357.8</v>
      </c>
      <c r="G312" s="14">
        <f>'пр. 4 Вед'!H1169</f>
        <v>3357.8</v>
      </c>
      <c r="H312" s="14">
        <f t="shared" si="32"/>
        <v>0</v>
      </c>
      <c r="I312" s="77">
        <f t="shared" si="33"/>
        <v>100</v>
      </c>
      <c r="L312" s="192"/>
      <c r="M312" s="192"/>
      <c r="N312" s="192"/>
      <c r="O312" s="192"/>
      <c r="P312" s="192"/>
      <c r="Q312" s="192"/>
    </row>
    <row r="313" spans="1:17" s="27" customFormat="1" ht="12.75">
      <c r="A313" s="46" t="s">
        <v>248</v>
      </c>
      <c r="B313" s="12" t="s">
        <v>68</v>
      </c>
      <c r="C313" s="12" t="s">
        <v>75</v>
      </c>
      <c r="D313" s="13" t="s">
        <v>255</v>
      </c>
      <c r="E313" s="29"/>
      <c r="F313" s="14">
        <f>F314+F320</f>
        <v>11232</v>
      </c>
      <c r="G313" s="14">
        <f>G314+G320</f>
        <v>11103.6</v>
      </c>
      <c r="H313" s="14">
        <f t="shared" si="32"/>
        <v>128.39999999999964</v>
      </c>
      <c r="I313" s="77">
        <f t="shared" si="33"/>
        <v>98.85683760683762</v>
      </c>
      <c r="L313" s="192"/>
      <c r="M313" s="192"/>
      <c r="N313" s="192"/>
      <c r="O313" s="192"/>
      <c r="P313" s="192"/>
      <c r="Q313" s="192"/>
    </row>
    <row r="314" spans="1:17" s="27" customFormat="1" ht="12.75">
      <c r="A314" s="46" t="s">
        <v>542</v>
      </c>
      <c r="B314" s="12" t="s">
        <v>68</v>
      </c>
      <c r="C314" s="12" t="s">
        <v>75</v>
      </c>
      <c r="D314" s="13" t="s">
        <v>543</v>
      </c>
      <c r="E314" s="29"/>
      <c r="F314" s="14">
        <f>F318+F315</f>
        <v>10758.4</v>
      </c>
      <c r="G314" s="14">
        <f>G318+G315</f>
        <v>10630</v>
      </c>
      <c r="H314" s="14">
        <f t="shared" si="32"/>
        <v>128.39999999999964</v>
      </c>
      <c r="I314" s="77">
        <f t="shared" si="33"/>
        <v>98.80651397977395</v>
      </c>
      <c r="L314" s="192"/>
      <c r="M314" s="192"/>
      <c r="N314" s="192"/>
      <c r="O314" s="192"/>
      <c r="P314" s="192"/>
      <c r="Q314" s="192"/>
    </row>
    <row r="315" spans="1:17" s="27" customFormat="1" ht="12.75">
      <c r="A315" s="46" t="s">
        <v>770</v>
      </c>
      <c r="B315" s="12" t="s">
        <v>68</v>
      </c>
      <c r="C315" s="12" t="s">
        <v>75</v>
      </c>
      <c r="D315" s="13" t="s">
        <v>543</v>
      </c>
      <c r="E315" s="13" t="s">
        <v>113</v>
      </c>
      <c r="F315" s="14">
        <f>F316</f>
        <v>637.9</v>
      </c>
      <c r="G315" s="14">
        <f>G316</f>
        <v>509.79999999999995</v>
      </c>
      <c r="H315" s="14">
        <f t="shared" si="32"/>
        <v>128.10000000000002</v>
      </c>
      <c r="I315" s="77">
        <f t="shared" si="33"/>
        <v>79.91848252077128</v>
      </c>
      <c r="L315" s="192"/>
      <c r="M315" s="192"/>
      <c r="N315" s="192"/>
      <c r="O315" s="192"/>
      <c r="P315" s="192"/>
      <c r="Q315" s="192"/>
    </row>
    <row r="316" spans="1:17" s="27" customFormat="1" ht="25.5">
      <c r="A316" s="9" t="s">
        <v>106</v>
      </c>
      <c r="B316" s="12" t="s">
        <v>68</v>
      </c>
      <c r="C316" s="12" t="s">
        <v>75</v>
      </c>
      <c r="D316" s="13" t="s">
        <v>543</v>
      </c>
      <c r="E316" s="13" t="s">
        <v>107</v>
      </c>
      <c r="F316" s="14">
        <f>F317</f>
        <v>637.9</v>
      </c>
      <c r="G316" s="14">
        <f>G317</f>
        <v>509.79999999999995</v>
      </c>
      <c r="H316" s="14">
        <f t="shared" si="32"/>
        <v>128.10000000000002</v>
      </c>
      <c r="I316" s="77">
        <f t="shared" si="33"/>
        <v>79.91848252077128</v>
      </c>
      <c r="L316" s="192"/>
      <c r="M316" s="192"/>
      <c r="N316" s="192"/>
      <c r="O316" s="192"/>
      <c r="P316" s="192"/>
      <c r="Q316" s="192"/>
    </row>
    <row r="317" spans="1:17" s="27" customFormat="1" ht="25.5">
      <c r="A317" s="9" t="s">
        <v>108</v>
      </c>
      <c r="B317" s="12" t="s">
        <v>68</v>
      </c>
      <c r="C317" s="12" t="s">
        <v>75</v>
      </c>
      <c r="D317" s="13" t="s">
        <v>543</v>
      </c>
      <c r="E317" s="13" t="s">
        <v>109</v>
      </c>
      <c r="F317" s="14">
        <f>'пр. 4 Вед'!G1174+'пр. 4 Вед'!G201</f>
        <v>637.9</v>
      </c>
      <c r="G317" s="14">
        <f>'пр. 4 Вед'!H1174+'пр. 4 Вед'!H201</f>
        <v>509.79999999999995</v>
      </c>
      <c r="H317" s="14">
        <f t="shared" si="32"/>
        <v>128.10000000000002</v>
      </c>
      <c r="I317" s="77">
        <f t="shared" si="33"/>
        <v>79.91848252077128</v>
      </c>
      <c r="L317" s="192"/>
      <c r="M317" s="192"/>
      <c r="N317" s="192"/>
      <c r="O317" s="192"/>
      <c r="P317" s="192"/>
      <c r="Q317" s="192"/>
    </row>
    <row r="318" spans="1:17" s="27" customFormat="1" ht="12.75">
      <c r="A318" s="46" t="s">
        <v>137</v>
      </c>
      <c r="B318" s="12" t="s">
        <v>68</v>
      </c>
      <c r="C318" s="12" t="s">
        <v>75</v>
      </c>
      <c r="D318" s="13" t="s">
        <v>543</v>
      </c>
      <c r="E318" s="13" t="s">
        <v>138</v>
      </c>
      <c r="F318" s="14">
        <f>F319</f>
        <v>10120.5</v>
      </c>
      <c r="G318" s="14">
        <f>G319</f>
        <v>10120.2</v>
      </c>
      <c r="H318" s="14">
        <f t="shared" si="32"/>
        <v>0.2999999999992724</v>
      </c>
      <c r="I318" s="77">
        <f t="shared" si="33"/>
        <v>99.99703571957907</v>
      </c>
      <c r="L318" s="192"/>
      <c r="M318" s="192"/>
      <c r="N318" s="192"/>
      <c r="O318" s="192"/>
      <c r="P318" s="192"/>
      <c r="Q318" s="192"/>
    </row>
    <row r="319" spans="1:17" s="27" customFormat="1" ht="25.5">
      <c r="A319" s="46" t="s">
        <v>182</v>
      </c>
      <c r="B319" s="12" t="s">
        <v>68</v>
      </c>
      <c r="C319" s="12" t="s">
        <v>75</v>
      </c>
      <c r="D319" s="13" t="s">
        <v>543</v>
      </c>
      <c r="E319" s="13" t="s">
        <v>139</v>
      </c>
      <c r="F319" s="14">
        <f>'пр. 4 Вед'!G1176+'пр. 4 Вед'!G457</f>
        <v>10120.5</v>
      </c>
      <c r="G319" s="14">
        <f>'пр. 4 Вед'!H1176+'пр. 4 Вед'!H457</f>
        <v>10120.2</v>
      </c>
      <c r="H319" s="14">
        <f t="shared" si="32"/>
        <v>0.2999999999992724</v>
      </c>
      <c r="I319" s="77">
        <f t="shared" si="33"/>
        <v>99.99703571957907</v>
      </c>
      <c r="L319" s="192"/>
      <c r="M319" s="192"/>
      <c r="N319" s="192"/>
      <c r="O319" s="192"/>
      <c r="P319" s="192"/>
      <c r="Q319" s="192"/>
    </row>
    <row r="320" spans="1:17" s="27" customFormat="1" ht="12.75">
      <c r="A320" s="9" t="s">
        <v>627</v>
      </c>
      <c r="B320" s="12" t="s">
        <v>68</v>
      </c>
      <c r="C320" s="12" t="s">
        <v>75</v>
      </c>
      <c r="D320" s="13" t="s">
        <v>628</v>
      </c>
      <c r="E320" s="13"/>
      <c r="F320" s="14">
        <f aca="true" t="shared" si="42" ref="F320:G322">F321</f>
        <v>473.6</v>
      </c>
      <c r="G320" s="14">
        <f t="shared" si="42"/>
        <v>473.6</v>
      </c>
      <c r="H320" s="14">
        <f t="shared" si="32"/>
        <v>0</v>
      </c>
      <c r="I320" s="77">
        <f t="shared" si="33"/>
        <v>100</v>
      </c>
      <c r="L320" s="192"/>
      <c r="M320" s="192"/>
      <c r="N320" s="192"/>
      <c r="O320" s="192"/>
      <c r="P320" s="192"/>
      <c r="Q320" s="192"/>
    </row>
    <row r="321" spans="1:17" s="27" customFormat="1" ht="12.75">
      <c r="A321" s="9" t="s">
        <v>137</v>
      </c>
      <c r="B321" s="12" t="s">
        <v>68</v>
      </c>
      <c r="C321" s="12" t="s">
        <v>75</v>
      </c>
      <c r="D321" s="13" t="s">
        <v>628</v>
      </c>
      <c r="E321" s="13" t="s">
        <v>138</v>
      </c>
      <c r="F321" s="14">
        <f t="shared" si="42"/>
        <v>473.6</v>
      </c>
      <c r="G321" s="14">
        <f t="shared" si="42"/>
        <v>473.6</v>
      </c>
      <c r="H321" s="14">
        <f t="shared" si="32"/>
        <v>0</v>
      </c>
      <c r="I321" s="77">
        <f t="shared" si="33"/>
        <v>100</v>
      </c>
      <c r="L321" s="192"/>
      <c r="M321" s="192"/>
      <c r="N321" s="192"/>
      <c r="O321" s="192"/>
      <c r="P321" s="192"/>
      <c r="Q321" s="192"/>
    </row>
    <row r="322" spans="1:17" s="27" customFormat="1" ht="12.75">
      <c r="A322" s="9" t="s">
        <v>611</v>
      </c>
      <c r="B322" s="12" t="s">
        <v>68</v>
      </c>
      <c r="C322" s="12" t="s">
        <v>75</v>
      </c>
      <c r="D322" s="13" t="s">
        <v>628</v>
      </c>
      <c r="E322" s="13" t="s">
        <v>612</v>
      </c>
      <c r="F322" s="14">
        <f t="shared" si="42"/>
        <v>473.6</v>
      </c>
      <c r="G322" s="14">
        <f t="shared" si="42"/>
        <v>473.6</v>
      </c>
      <c r="H322" s="14">
        <f t="shared" si="32"/>
        <v>0</v>
      </c>
      <c r="I322" s="77">
        <f t="shared" si="33"/>
        <v>100</v>
      </c>
      <c r="L322" s="192"/>
      <c r="M322" s="192"/>
      <c r="N322" s="192"/>
      <c r="O322" s="192"/>
      <c r="P322" s="192"/>
      <c r="Q322" s="192"/>
    </row>
    <row r="323" spans="1:17" s="27" customFormat="1" ht="63.75">
      <c r="A323" s="9" t="s">
        <v>629</v>
      </c>
      <c r="B323" s="12" t="s">
        <v>68</v>
      </c>
      <c r="C323" s="12" t="s">
        <v>75</v>
      </c>
      <c r="D323" s="13" t="s">
        <v>628</v>
      </c>
      <c r="E323" s="13" t="s">
        <v>613</v>
      </c>
      <c r="F323" s="14">
        <f>'пр. 4 Вед'!G205</f>
        <v>473.6</v>
      </c>
      <c r="G323" s="14">
        <f>'пр. 4 Вед'!H205</f>
        <v>473.6</v>
      </c>
      <c r="H323" s="14">
        <f t="shared" si="32"/>
        <v>0</v>
      </c>
      <c r="I323" s="77">
        <f t="shared" si="33"/>
        <v>100</v>
      </c>
      <c r="L323" s="192"/>
      <c r="M323" s="192"/>
      <c r="N323" s="192"/>
      <c r="O323" s="192"/>
      <c r="P323" s="192"/>
      <c r="Q323" s="192"/>
    </row>
    <row r="324" spans="1:17" s="27" customFormat="1" ht="12.75">
      <c r="A324" s="60" t="s">
        <v>7</v>
      </c>
      <c r="B324" s="29" t="s">
        <v>68</v>
      </c>
      <c r="C324" s="29" t="s">
        <v>78</v>
      </c>
      <c r="D324" s="29"/>
      <c r="E324" s="29"/>
      <c r="F324" s="30">
        <f>F325+F330+F338</f>
        <v>1316.5</v>
      </c>
      <c r="G324" s="30">
        <f>G325+G330+G338</f>
        <v>1261.5</v>
      </c>
      <c r="H324" s="30">
        <f t="shared" si="32"/>
        <v>55</v>
      </c>
      <c r="I324" s="82">
        <f t="shared" si="33"/>
        <v>95.82225598176984</v>
      </c>
      <c r="L324" s="192"/>
      <c r="M324" s="192"/>
      <c r="N324" s="192"/>
      <c r="O324" s="192"/>
      <c r="P324" s="192"/>
      <c r="Q324" s="192"/>
    </row>
    <row r="325" spans="1:17" s="27" customFormat="1" ht="25.5">
      <c r="A325" s="46" t="s">
        <v>500</v>
      </c>
      <c r="B325" s="13" t="s">
        <v>68</v>
      </c>
      <c r="C325" s="13" t="s">
        <v>78</v>
      </c>
      <c r="D325" s="45" t="s">
        <v>673</v>
      </c>
      <c r="E325" s="13"/>
      <c r="F325" s="14">
        <f aca="true" t="shared" si="43" ref="F325:G328">F326</f>
        <v>800</v>
      </c>
      <c r="G325" s="14">
        <f t="shared" si="43"/>
        <v>800</v>
      </c>
      <c r="H325" s="14">
        <f t="shared" si="32"/>
        <v>0</v>
      </c>
      <c r="I325" s="77">
        <f t="shared" si="33"/>
        <v>100</v>
      </c>
      <c r="L325" s="192"/>
      <c r="M325" s="192"/>
      <c r="N325" s="192"/>
      <c r="O325" s="192"/>
      <c r="P325" s="192"/>
      <c r="Q325" s="192"/>
    </row>
    <row r="326" spans="1:17" s="27" customFormat="1" ht="25.5">
      <c r="A326" s="46" t="s">
        <v>353</v>
      </c>
      <c r="B326" s="13" t="s">
        <v>68</v>
      </c>
      <c r="C326" s="13" t="s">
        <v>78</v>
      </c>
      <c r="D326" s="45" t="s">
        <v>674</v>
      </c>
      <c r="E326" s="13"/>
      <c r="F326" s="14">
        <f t="shared" si="43"/>
        <v>800</v>
      </c>
      <c r="G326" s="14">
        <f t="shared" si="43"/>
        <v>800</v>
      </c>
      <c r="H326" s="14">
        <f t="shared" si="32"/>
        <v>0</v>
      </c>
      <c r="I326" s="77">
        <f t="shared" si="33"/>
        <v>100</v>
      </c>
      <c r="L326" s="192"/>
      <c r="M326" s="192"/>
      <c r="N326" s="192"/>
      <c r="O326" s="192"/>
      <c r="P326" s="192"/>
      <c r="Q326" s="192"/>
    </row>
    <row r="327" spans="1:17" s="27" customFormat="1" ht="12.75">
      <c r="A327" s="46" t="s">
        <v>196</v>
      </c>
      <c r="B327" s="13" t="s">
        <v>68</v>
      </c>
      <c r="C327" s="13" t="s">
        <v>78</v>
      </c>
      <c r="D327" s="45" t="s">
        <v>675</v>
      </c>
      <c r="E327" s="13"/>
      <c r="F327" s="14">
        <f t="shared" si="43"/>
        <v>800</v>
      </c>
      <c r="G327" s="14">
        <f t="shared" si="43"/>
        <v>800</v>
      </c>
      <c r="H327" s="14">
        <f t="shared" si="32"/>
        <v>0</v>
      </c>
      <c r="I327" s="77">
        <f t="shared" si="33"/>
        <v>100</v>
      </c>
      <c r="L327" s="192"/>
      <c r="M327" s="192"/>
      <c r="N327" s="192"/>
      <c r="O327" s="192"/>
      <c r="P327" s="192"/>
      <c r="Q327" s="192"/>
    </row>
    <row r="328" spans="1:17" s="27" customFormat="1" ht="12.75">
      <c r="A328" s="46" t="s">
        <v>137</v>
      </c>
      <c r="B328" s="13" t="s">
        <v>68</v>
      </c>
      <c r="C328" s="13" t="s">
        <v>78</v>
      </c>
      <c r="D328" s="45" t="s">
        <v>675</v>
      </c>
      <c r="E328" s="13" t="s">
        <v>138</v>
      </c>
      <c r="F328" s="14">
        <f t="shared" si="43"/>
        <v>800</v>
      </c>
      <c r="G328" s="14">
        <f t="shared" si="43"/>
        <v>800</v>
      </c>
      <c r="H328" s="14">
        <f t="shared" si="32"/>
        <v>0</v>
      </c>
      <c r="I328" s="77">
        <f t="shared" si="33"/>
        <v>100</v>
      </c>
      <c r="L328" s="192"/>
      <c r="M328" s="192"/>
      <c r="N328" s="192"/>
      <c r="O328" s="192"/>
      <c r="P328" s="192"/>
      <c r="Q328" s="192"/>
    </row>
    <row r="329" spans="1:17" s="27" customFormat="1" ht="25.5">
      <c r="A329" s="46" t="s">
        <v>182</v>
      </c>
      <c r="B329" s="13" t="s">
        <v>68</v>
      </c>
      <c r="C329" s="13" t="s">
        <v>78</v>
      </c>
      <c r="D329" s="45" t="s">
        <v>675</v>
      </c>
      <c r="E329" s="13" t="s">
        <v>139</v>
      </c>
      <c r="F329" s="14">
        <f>'пр. 4 Вед'!G463</f>
        <v>800</v>
      </c>
      <c r="G329" s="14">
        <f>'пр. 4 Вед'!H463</f>
        <v>800</v>
      </c>
      <c r="H329" s="14">
        <f aca="true" t="shared" si="44" ref="H329:H392">F329-G329</f>
        <v>0</v>
      </c>
      <c r="I329" s="77">
        <f aca="true" t="shared" si="45" ref="I329:I392">G329/F329*100</f>
        <v>100</v>
      </c>
      <c r="L329" s="192"/>
      <c r="M329" s="192"/>
      <c r="N329" s="192"/>
      <c r="O329" s="192"/>
      <c r="P329" s="192"/>
      <c r="Q329" s="192"/>
    </row>
    <row r="330" spans="1:17" s="27" customFormat="1" ht="25.5">
      <c r="A330" s="25" t="s">
        <v>734</v>
      </c>
      <c r="B330" s="13" t="s">
        <v>68</v>
      </c>
      <c r="C330" s="13" t="s">
        <v>78</v>
      </c>
      <c r="D330" s="45" t="s">
        <v>197</v>
      </c>
      <c r="E330" s="13"/>
      <c r="F330" s="14">
        <f>F331</f>
        <v>193.5</v>
      </c>
      <c r="G330" s="14">
        <f>G331</f>
        <v>193.5</v>
      </c>
      <c r="H330" s="14">
        <f t="shared" si="44"/>
        <v>0</v>
      </c>
      <c r="I330" s="77">
        <f t="shared" si="45"/>
        <v>100</v>
      </c>
      <c r="L330" s="192"/>
      <c r="M330" s="192"/>
      <c r="N330" s="192"/>
      <c r="O330" s="192"/>
      <c r="P330" s="192"/>
      <c r="Q330" s="192"/>
    </row>
    <row r="331" spans="1:17" s="27" customFormat="1" ht="38.25">
      <c r="A331" s="25" t="s">
        <v>303</v>
      </c>
      <c r="B331" s="13" t="s">
        <v>68</v>
      </c>
      <c r="C331" s="13" t="s">
        <v>78</v>
      </c>
      <c r="D331" s="45" t="s">
        <v>447</v>
      </c>
      <c r="E331" s="13"/>
      <c r="F331" s="14">
        <f>F332+F335</f>
        <v>193.5</v>
      </c>
      <c r="G331" s="14">
        <f>G332+G335</f>
        <v>193.5</v>
      </c>
      <c r="H331" s="14">
        <f t="shared" si="44"/>
        <v>0</v>
      </c>
      <c r="I331" s="77">
        <f t="shared" si="45"/>
        <v>100</v>
      </c>
      <c r="L331" s="192"/>
      <c r="M331" s="192"/>
      <c r="N331" s="192"/>
      <c r="O331" s="192"/>
      <c r="P331" s="192"/>
      <c r="Q331" s="192"/>
    </row>
    <row r="332" spans="1:17" s="27" customFormat="1" ht="25.5">
      <c r="A332" s="25" t="s">
        <v>719</v>
      </c>
      <c r="B332" s="13" t="s">
        <v>68</v>
      </c>
      <c r="C332" s="13" t="s">
        <v>78</v>
      </c>
      <c r="D332" s="45" t="s">
        <v>720</v>
      </c>
      <c r="E332" s="13"/>
      <c r="F332" s="14">
        <f>F333</f>
        <v>93.5</v>
      </c>
      <c r="G332" s="14">
        <f>G333</f>
        <v>93.5</v>
      </c>
      <c r="H332" s="14">
        <f t="shared" si="44"/>
        <v>0</v>
      </c>
      <c r="I332" s="77">
        <f t="shared" si="45"/>
        <v>100</v>
      </c>
      <c r="L332" s="192"/>
      <c r="M332" s="192"/>
      <c r="N332" s="192"/>
      <c r="O332" s="192"/>
      <c r="P332" s="192"/>
      <c r="Q332" s="192"/>
    </row>
    <row r="333" spans="1:17" s="27" customFormat="1" ht="12.75">
      <c r="A333" s="9" t="s">
        <v>137</v>
      </c>
      <c r="B333" s="13" t="s">
        <v>68</v>
      </c>
      <c r="C333" s="13" t="s">
        <v>78</v>
      </c>
      <c r="D333" s="45" t="s">
        <v>720</v>
      </c>
      <c r="E333" s="13" t="s">
        <v>138</v>
      </c>
      <c r="F333" s="14">
        <f>F334</f>
        <v>93.5</v>
      </c>
      <c r="G333" s="14">
        <f>G334</f>
        <v>93.5</v>
      </c>
      <c r="H333" s="14">
        <f t="shared" si="44"/>
        <v>0</v>
      </c>
      <c r="I333" s="77">
        <f t="shared" si="45"/>
        <v>100</v>
      </c>
      <c r="L333" s="192"/>
      <c r="M333" s="192"/>
      <c r="N333" s="192"/>
      <c r="O333" s="192"/>
      <c r="P333" s="192"/>
      <c r="Q333" s="192"/>
    </row>
    <row r="334" spans="1:17" s="27" customFormat="1" ht="25.5">
      <c r="A334" s="9" t="s">
        <v>182</v>
      </c>
      <c r="B334" s="13" t="s">
        <v>68</v>
      </c>
      <c r="C334" s="13" t="s">
        <v>78</v>
      </c>
      <c r="D334" s="45" t="s">
        <v>720</v>
      </c>
      <c r="E334" s="13" t="s">
        <v>139</v>
      </c>
      <c r="F334" s="14">
        <f>'пр. 4 Вед'!G211</f>
        <v>93.5</v>
      </c>
      <c r="G334" s="14">
        <f>'пр. 4 Вед'!H211</f>
        <v>93.5</v>
      </c>
      <c r="H334" s="14">
        <f t="shared" si="44"/>
        <v>0</v>
      </c>
      <c r="I334" s="77">
        <f t="shared" si="45"/>
        <v>100</v>
      </c>
      <c r="L334" s="192"/>
      <c r="M334" s="192"/>
      <c r="N334" s="192"/>
      <c r="O334" s="192"/>
      <c r="P334" s="192"/>
      <c r="Q334" s="192"/>
    </row>
    <row r="335" spans="1:17" s="27" customFormat="1" ht="25.5">
      <c r="A335" s="25" t="s">
        <v>721</v>
      </c>
      <c r="B335" s="13" t="s">
        <v>68</v>
      </c>
      <c r="C335" s="13" t="s">
        <v>78</v>
      </c>
      <c r="D335" s="45" t="s">
        <v>722</v>
      </c>
      <c r="E335" s="13"/>
      <c r="F335" s="14">
        <f>F336</f>
        <v>100</v>
      </c>
      <c r="G335" s="14">
        <f>G336</f>
        <v>100</v>
      </c>
      <c r="H335" s="14">
        <f t="shared" si="44"/>
        <v>0</v>
      </c>
      <c r="I335" s="77">
        <f t="shared" si="45"/>
        <v>100</v>
      </c>
      <c r="L335" s="192"/>
      <c r="M335" s="192"/>
      <c r="N335" s="192"/>
      <c r="O335" s="192"/>
      <c r="P335" s="192"/>
      <c r="Q335" s="192"/>
    </row>
    <row r="336" spans="1:17" s="27" customFormat="1" ht="13.5" customHeight="1">
      <c r="A336" s="9" t="s">
        <v>137</v>
      </c>
      <c r="B336" s="13" t="s">
        <v>68</v>
      </c>
      <c r="C336" s="13" t="s">
        <v>78</v>
      </c>
      <c r="D336" s="45" t="s">
        <v>722</v>
      </c>
      <c r="E336" s="13" t="s">
        <v>138</v>
      </c>
      <c r="F336" s="14">
        <f>F337</f>
        <v>100</v>
      </c>
      <c r="G336" s="14">
        <f>G337</f>
        <v>100</v>
      </c>
      <c r="H336" s="14">
        <f t="shared" si="44"/>
        <v>0</v>
      </c>
      <c r="I336" s="77">
        <f t="shared" si="45"/>
        <v>100</v>
      </c>
      <c r="L336" s="192"/>
      <c r="M336" s="192"/>
      <c r="N336" s="192"/>
      <c r="O336" s="192"/>
      <c r="P336" s="192"/>
      <c r="Q336" s="192"/>
    </row>
    <row r="337" spans="1:17" s="27" customFormat="1" ht="13.5" customHeight="1">
      <c r="A337" s="9" t="s">
        <v>182</v>
      </c>
      <c r="B337" s="13" t="s">
        <v>68</v>
      </c>
      <c r="C337" s="13" t="s">
        <v>78</v>
      </c>
      <c r="D337" s="45" t="s">
        <v>722</v>
      </c>
      <c r="E337" s="13" t="s">
        <v>139</v>
      </c>
      <c r="F337" s="14">
        <f>'пр. 4 Вед'!G214</f>
        <v>100</v>
      </c>
      <c r="G337" s="14">
        <f>'пр. 4 Вед'!H214</f>
        <v>100</v>
      </c>
      <c r="H337" s="14">
        <f t="shared" si="44"/>
        <v>0</v>
      </c>
      <c r="I337" s="77">
        <f t="shared" si="45"/>
        <v>100</v>
      </c>
      <c r="L337" s="192"/>
      <c r="M337" s="192"/>
      <c r="N337" s="192"/>
      <c r="O337" s="192"/>
      <c r="P337" s="192"/>
      <c r="Q337" s="192"/>
    </row>
    <row r="338" spans="1:17" s="27" customFormat="1" ht="25.5">
      <c r="A338" s="46" t="s">
        <v>566</v>
      </c>
      <c r="B338" s="13" t="s">
        <v>68</v>
      </c>
      <c r="C338" s="13" t="s">
        <v>78</v>
      </c>
      <c r="D338" s="45" t="s">
        <v>198</v>
      </c>
      <c r="E338" s="13"/>
      <c r="F338" s="14">
        <f>F339</f>
        <v>323</v>
      </c>
      <c r="G338" s="14">
        <f>G339</f>
        <v>268</v>
      </c>
      <c r="H338" s="14">
        <f t="shared" si="44"/>
        <v>55</v>
      </c>
      <c r="I338" s="77">
        <f t="shared" si="45"/>
        <v>82.97213622291022</v>
      </c>
      <c r="L338" s="192"/>
      <c r="M338" s="192"/>
      <c r="N338" s="192"/>
      <c r="O338" s="192"/>
      <c r="P338" s="192"/>
      <c r="Q338" s="192"/>
    </row>
    <row r="339" spans="1:17" s="27" customFormat="1" ht="38.25">
      <c r="A339" s="9" t="s">
        <v>287</v>
      </c>
      <c r="B339" s="13" t="s">
        <v>68</v>
      </c>
      <c r="C339" s="13" t="s">
        <v>78</v>
      </c>
      <c r="D339" s="45" t="s">
        <v>448</v>
      </c>
      <c r="E339" s="13"/>
      <c r="F339" s="14">
        <f>F340+F344+F348</f>
        <v>323</v>
      </c>
      <c r="G339" s="14">
        <f>G340+G344+G348</f>
        <v>268</v>
      </c>
      <c r="H339" s="14">
        <f t="shared" si="44"/>
        <v>55</v>
      </c>
      <c r="I339" s="77">
        <f t="shared" si="45"/>
        <v>82.97213622291022</v>
      </c>
      <c r="L339" s="192"/>
      <c r="M339" s="192"/>
      <c r="N339" s="192"/>
      <c r="O339" s="192"/>
      <c r="P339" s="192"/>
      <c r="Q339" s="192"/>
    </row>
    <row r="340" spans="1:17" s="27" customFormat="1" ht="25.5">
      <c r="A340" s="25" t="s">
        <v>741</v>
      </c>
      <c r="B340" s="72" t="s">
        <v>68</v>
      </c>
      <c r="C340" s="72" t="s">
        <v>78</v>
      </c>
      <c r="D340" s="45" t="s">
        <v>699</v>
      </c>
      <c r="E340" s="13"/>
      <c r="F340" s="14">
        <f aca="true" t="shared" si="46" ref="F340:G342">F341</f>
        <v>273</v>
      </c>
      <c r="G340" s="14">
        <f t="shared" si="46"/>
        <v>218</v>
      </c>
      <c r="H340" s="14">
        <f t="shared" si="44"/>
        <v>55</v>
      </c>
      <c r="I340" s="77">
        <f t="shared" si="45"/>
        <v>79.85347985347985</v>
      </c>
      <c r="L340" s="192"/>
      <c r="M340" s="192"/>
      <c r="N340" s="192"/>
      <c r="O340" s="192"/>
      <c r="P340" s="192"/>
      <c r="Q340" s="192"/>
    </row>
    <row r="341" spans="1:17" s="27" customFormat="1" ht="12.75">
      <c r="A341" s="46" t="s">
        <v>770</v>
      </c>
      <c r="B341" s="72" t="s">
        <v>68</v>
      </c>
      <c r="C341" s="72" t="s">
        <v>78</v>
      </c>
      <c r="D341" s="45" t="s">
        <v>699</v>
      </c>
      <c r="E341" s="13" t="s">
        <v>113</v>
      </c>
      <c r="F341" s="14">
        <f t="shared" si="46"/>
        <v>273</v>
      </c>
      <c r="G341" s="14">
        <f t="shared" si="46"/>
        <v>218</v>
      </c>
      <c r="H341" s="14">
        <f t="shared" si="44"/>
        <v>55</v>
      </c>
      <c r="I341" s="77">
        <f t="shared" si="45"/>
        <v>79.85347985347985</v>
      </c>
      <c r="L341" s="192"/>
      <c r="M341" s="192"/>
      <c r="N341" s="192"/>
      <c r="O341" s="192"/>
      <c r="P341" s="192"/>
      <c r="Q341" s="192"/>
    </row>
    <row r="342" spans="1:17" s="27" customFormat="1" ht="25.5">
      <c r="A342" s="9" t="s">
        <v>106</v>
      </c>
      <c r="B342" s="72" t="s">
        <v>68</v>
      </c>
      <c r="C342" s="72" t="s">
        <v>78</v>
      </c>
      <c r="D342" s="45" t="s">
        <v>699</v>
      </c>
      <c r="E342" s="13" t="s">
        <v>107</v>
      </c>
      <c r="F342" s="14">
        <f t="shared" si="46"/>
        <v>273</v>
      </c>
      <c r="G342" s="14">
        <f t="shared" si="46"/>
        <v>218</v>
      </c>
      <c r="H342" s="14">
        <f t="shared" si="44"/>
        <v>55</v>
      </c>
      <c r="I342" s="77">
        <f t="shared" si="45"/>
        <v>79.85347985347985</v>
      </c>
      <c r="L342" s="192"/>
      <c r="M342" s="192"/>
      <c r="N342" s="192"/>
      <c r="O342" s="192"/>
      <c r="P342" s="192"/>
      <c r="Q342" s="192"/>
    </row>
    <row r="343" spans="1:17" s="27" customFormat="1" ht="25.5">
      <c r="A343" s="9" t="s">
        <v>108</v>
      </c>
      <c r="B343" s="72" t="s">
        <v>68</v>
      </c>
      <c r="C343" s="72" t="s">
        <v>78</v>
      </c>
      <c r="D343" s="45" t="s">
        <v>699</v>
      </c>
      <c r="E343" s="13" t="s">
        <v>109</v>
      </c>
      <c r="F343" s="14">
        <f>'пр. 4 Вед'!G220</f>
        <v>273</v>
      </c>
      <c r="G343" s="14">
        <f>'пр. 4 Вед'!H220</f>
        <v>218</v>
      </c>
      <c r="H343" s="14">
        <f t="shared" si="44"/>
        <v>55</v>
      </c>
      <c r="I343" s="77">
        <f t="shared" si="45"/>
        <v>79.85347985347985</v>
      </c>
      <c r="L343" s="192"/>
      <c r="M343" s="192"/>
      <c r="N343" s="192"/>
      <c r="O343" s="192"/>
      <c r="P343" s="192"/>
      <c r="Q343" s="192"/>
    </row>
    <row r="344" spans="1:17" s="27" customFormat="1" ht="25.5">
      <c r="A344" s="25" t="s">
        <v>742</v>
      </c>
      <c r="B344" s="13" t="s">
        <v>68</v>
      </c>
      <c r="C344" s="13" t="s">
        <v>78</v>
      </c>
      <c r="D344" s="45" t="s">
        <v>700</v>
      </c>
      <c r="E344" s="13"/>
      <c r="F344" s="14">
        <f aca="true" t="shared" si="47" ref="F344:G346">F345</f>
        <v>20</v>
      </c>
      <c r="G344" s="14">
        <f t="shared" si="47"/>
        <v>20</v>
      </c>
      <c r="H344" s="14">
        <f t="shared" si="44"/>
        <v>0</v>
      </c>
      <c r="I344" s="77">
        <f t="shared" si="45"/>
        <v>100</v>
      </c>
      <c r="L344" s="192"/>
      <c r="M344" s="192"/>
      <c r="N344" s="192"/>
      <c r="O344" s="192"/>
      <c r="P344" s="192"/>
      <c r="Q344" s="192"/>
    </row>
    <row r="345" spans="1:17" s="27" customFormat="1" ht="12.75">
      <c r="A345" s="46" t="s">
        <v>770</v>
      </c>
      <c r="B345" s="13" t="s">
        <v>68</v>
      </c>
      <c r="C345" s="13" t="s">
        <v>78</v>
      </c>
      <c r="D345" s="45" t="s">
        <v>700</v>
      </c>
      <c r="E345" s="13" t="s">
        <v>113</v>
      </c>
      <c r="F345" s="14">
        <f t="shared" si="47"/>
        <v>20</v>
      </c>
      <c r="G345" s="14">
        <f t="shared" si="47"/>
        <v>20</v>
      </c>
      <c r="H345" s="14">
        <f t="shared" si="44"/>
        <v>0</v>
      </c>
      <c r="I345" s="77">
        <f t="shared" si="45"/>
        <v>100</v>
      </c>
      <c r="L345" s="192"/>
      <c r="M345" s="192"/>
      <c r="N345" s="192"/>
      <c r="O345" s="192"/>
      <c r="P345" s="192"/>
      <c r="Q345" s="192"/>
    </row>
    <row r="346" spans="1:17" s="27" customFormat="1" ht="25.5">
      <c r="A346" s="9" t="s">
        <v>106</v>
      </c>
      <c r="B346" s="13" t="s">
        <v>68</v>
      </c>
      <c r="C346" s="13" t="s">
        <v>78</v>
      </c>
      <c r="D346" s="45" t="s">
        <v>700</v>
      </c>
      <c r="E346" s="13" t="s">
        <v>107</v>
      </c>
      <c r="F346" s="14">
        <f t="shared" si="47"/>
        <v>20</v>
      </c>
      <c r="G346" s="14">
        <f t="shared" si="47"/>
        <v>20</v>
      </c>
      <c r="H346" s="14">
        <f t="shared" si="44"/>
        <v>0</v>
      </c>
      <c r="I346" s="77">
        <f t="shared" si="45"/>
        <v>100</v>
      </c>
      <c r="L346" s="192"/>
      <c r="M346" s="192"/>
      <c r="N346" s="192"/>
      <c r="O346" s="192"/>
      <c r="P346" s="192"/>
      <c r="Q346" s="192"/>
    </row>
    <row r="347" spans="1:17" s="27" customFormat="1" ht="25.5">
      <c r="A347" s="9" t="s">
        <v>108</v>
      </c>
      <c r="B347" s="13" t="s">
        <v>68</v>
      </c>
      <c r="C347" s="13" t="s">
        <v>78</v>
      </c>
      <c r="D347" s="45" t="s">
        <v>700</v>
      </c>
      <c r="E347" s="13" t="s">
        <v>109</v>
      </c>
      <c r="F347" s="14">
        <f>'пр. 4 Вед'!G224</f>
        <v>20</v>
      </c>
      <c r="G347" s="14">
        <f>'пр. 4 Вед'!H224</f>
        <v>20</v>
      </c>
      <c r="H347" s="14">
        <f t="shared" si="44"/>
        <v>0</v>
      </c>
      <c r="I347" s="77">
        <f t="shared" si="45"/>
        <v>100</v>
      </c>
      <c r="L347" s="192"/>
      <c r="M347" s="192"/>
      <c r="N347" s="192"/>
      <c r="O347" s="192"/>
      <c r="P347" s="192"/>
      <c r="Q347" s="192"/>
    </row>
    <row r="348" spans="1:17" s="27" customFormat="1" ht="25.5">
      <c r="A348" s="9" t="s">
        <v>763</v>
      </c>
      <c r="B348" s="13" t="s">
        <v>68</v>
      </c>
      <c r="C348" s="13" t="s">
        <v>78</v>
      </c>
      <c r="D348" s="45" t="s">
        <v>764</v>
      </c>
      <c r="E348" s="13"/>
      <c r="F348" s="86">
        <f aca="true" t="shared" si="48" ref="F348:G350">F349</f>
        <v>30</v>
      </c>
      <c r="G348" s="86">
        <f t="shared" si="48"/>
        <v>30</v>
      </c>
      <c r="H348" s="14">
        <f t="shared" si="44"/>
        <v>0</v>
      </c>
      <c r="I348" s="77">
        <f t="shared" si="45"/>
        <v>100</v>
      </c>
      <c r="L348" s="192"/>
      <c r="M348" s="192"/>
      <c r="N348" s="192"/>
      <c r="O348" s="192"/>
      <c r="P348" s="192"/>
      <c r="Q348" s="192"/>
    </row>
    <row r="349" spans="1:17" s="27" customFormat="1" ht="12.75">
      <c r="A349" s="46" t="s">
        <v>770</v>
      </c>
      <c r="B349" s="13" t="s">
        <v>68</v>
      </c>
      <c r="C349" s="13" t="s">
        <v>78</v>
      </c>
      <c r="D349" s="45" t="s">
        <v>764</v>
      </c>
      <c r="E349" s="13" t="s">
        <v>113</v>
      </c>
      <c r="F349" s="86">
        <f t="shared" si="48"/>
        <v>30</v>
      </c>
      <c r="G349" s="86">
        <f t="shared" si="48"/>
        <v>30</v>
      </c>
      <c r="H349" s="14">
        <f t="shared" si="44"/>
        <v>0</v>
      </c>
      <c r="I349" s="77">
        <f t="shared" si="45"/>
        <v>100</v>
      </c>
      <c r="L349" s="192"/>
      <c r="M349" s="192"/>
      <c r="N349" s="192"/>
      <c r="O349" s="192"/>
      <c r="P349" s="192"/>
      <c r="Q349" s="192"/>
    </row>
    <row r="350" spans="1:17" s="27" customFormat="1" ht="24.75" customHeight="1">
      <c r="A350" s="9" t="s">
        <v>106</v>
      </c>
      <c r="B350" s="13" t="s">
        <v>68</v>
      </c>
      <c r="C350" s="13" t="s">
        <v>78</v>
      </c>
      <c r="D350" s="45" t="s">
        <v>764</v>
      </c>
      <c r="E350" s="13" t="s">
        <v>107</v>
      </c>
      <c r="F350" s="86">
        <f t="shared" si="48"/>
        <v>30</v>
      </c>
      <c r="G350" s="86">
        <f t="shared" si="48"/>
        <v>30</v>
      </c>
      <c r="H350" s="14">
        <f t="shared" si="44"/>
        <v>0</v>
      </c>
      <c r="I350" s="77">
        <f t="shared" si="45"/>
        <v>100</v>
      </c>
      <c r="L350" s="192"/>
      <c r="M350" s="192"/>
      <c r="N350" s="192"/>
      <c r="O350" s="192"/>
      <c r="P350" s="192"/>
      <c r="Q350" s="192"/>
    </row>
    <row r="351" spans="1:17" s="27" customFormat="1" ht="24.75" customHeight="1">
      <c r="A351" s="9" t="s">
        <v>108</v>
      </c>
      <c r="B351" s="13" t="s">
        <v>68</v>
      </c>
      <c r="C351" s="13" t="s">
        <v>78</v>
      </c>
      <c r="D351" s="45" t="s">
        <v>764</v>
      </c>
      <c r="E351" s="13" t="s">
        <v>109</v>
      </c>
      <c r="F351" s="86">
        <f>'пр. 4 Вед'!G228</f>
        <v>30</v>
      </c>
      <c r="G351" s="86">
        <f>'пр. 4 Вед'!H228</f>
        <v>30</v>
      </c>
      <c r="H351" s="14">
        <f t="shared" si="44"/>
        <v>0</v>
      </c>
      <c r="I351" s="77">
        <f t="shared" si="45"/>
        <v>100</v>
      </c>
      <c r="L351" s="192"/>
      <c r="M351" s="192"/>
      <c r="N351" s="192"/>
      <c r="O351" s="192"/>
      <c r="P351" s="192"/>
      <c r="Q351" s="192"/>
    </row>
    <row r="352" spans="1:17" s="27" customFormat="1" ht="12.75">
      <c r="A352" s="60" t="s">
        <v>377</v>
      </c>
      <c r="B352" s="37" t="s">
        <v>72</v>
      </c>
      <c r="C352" s="37" t="s">
        <v>36</v>
      </c>
      <c r="D352" s="13"/>
      <c r="E352" s="13"/>
      <c r="F352" s="30">
        <f>F353+F391+F428</f>
        <v>117380.8</v>
      </c>
      <c r="G352" s="30">
        <f>G353+G391+G428</f>
        <v>115910.49999999999</v>
      </c>
      <c r="H352" s="30">
        <f t="shared" si="44"/>
        <v>1470.3000000000175</v>
      </c>
      <c r="I352" s="82">
        <f t="shared" si="45"/>
        <v>98.74741013862572</v>
      </c>
      <c r="L352" s="192"/>
      <c r="M352" s="192"/>
      <c r="N352" s="192"/>
      <c r="O352" s="192"/>
      <c r="P352" s="192"/>
      <c r="Q352" s="192"/>
    </row>
    <row r="353" spans="1:17" s="27" customFormat="1" ht="12.75">
      <c r="A353" s="60" t="s">
        <v>161</v>
      </c>
      <c r="B353" s="37" t="s">
        <v>72</v>
      </c>
      <c r="C353" s="37" t="s">
        <v>66</v>
      </c>
      <c r="D353" s="29"/>
      <c r="E353" s="29"/>
      <c r="F353" s="30">
        <f>F370+F354+F359+F364</f>
        <v>60656.4</v>
      </c>
      <c r="G353" s="30">
        <f>G370+G354+G359+G364</f>
        <v>59619.2</v>
      </c>
      <c r="H353" s="30">
        <f t="shared" si="44"/>
        <v>1037.2000000000044</v>
      </c>
      <c r="I353" s="82">
        <f t="shared" si="45"/>
        <v>98.290040292533</v>
      </c>
      <c r="L353" s="192"/>
      <c r="M353" s="192"/>
      <c r="N353" s="192"/>
      <c r="O353" s="192"/>
      <c r="P353" s="192"/>
      <c r="Q353" s="192"/>
    </row>
    <row r="354" spans="1:17" s="27" customFormat="1" ht="63.75">
      <c r="A354" s="46" t="s">
        <v>590</v>
      </c>
      <c r="B354" s="12" t="s">
        <v>72</v>
      </c>
      <c r="C354" s="12" t="s">
        <v>66</v>
      </c>
      <c r="D354" s="13" t="s">
        <v>588</v>
      </c>
      <c r="E354" s="29"/>
      <c r="F354" s="14">
        <f aca="true" t="shared" si="49" ref="F354:G357">F355</f>
        <v>37902.799999999996</v>
      </c>
      <c r="G354" s="14">
        <f t="shared" si="49"/>
        <v>37902.7</v>
      </c>
      <c r="H354" s="14">
        <f t="shared" si="44"/>
        <v>0.09999999999854481</v>
      </c>
      <c r="I354" s="77">
        <f t="shared" si="45"/>
        <v>99.99973616724887</v>
      </c>
      <c r="L354" s="192"/>
      <c r="M354" s="192"/>
      <c r="N354" s="192"/>
      <c r="O354" s="192"/>
      <c r="P354" s="192"/>
      <c r="Q354" s="192"/>
    </row>
    <row r="355" spans="1:17" s="27" customFormat="1" ht="38.25">
      <c r="A355" s="66" t="s">
        <v>595</v>
      </c>
      <c r="B355" s="12" t="s">
        <v>72</v>
      </c>
      <c r="C355" s="12" t="s">
        <v>66</v>
      </c>
      <c r="D355" s="13" t="s">
        <v>589</v>
      </c>
      <c r="E355" s="29"/>
      <c r="F355" s="14">
        <f t="shared" si="49"/>
        <v>37902.799999999996</v>
      </c>
      <c r="G355" s="14">
        <f t="shared" si="49"/>
        <v>37902.7</v>
      </c>
      <c r="H355" s="14">
        <f t="shared" si="44"/>
        <v>0.09999999999854481</v>
      </c>
      <c r="I355" s="77">
        <f t="shared" si="45"/>
        <v>99.99973616724887</v>
      </c>
      <c r="L355" s="192"/>
      <c r="M355" s="192"/>
      <c r="N355" s="192"/>
      <c r="O355" s="192"/>
      <c r="P355" s="192"/>
      <c r="Q355" s="192"/>
    </row>
    <row r="356" spans="1:17" s="27" customFormat="1" ht="12.75">
      <c r="A356" s="9" t="s">
        <v>632</v>
      </c>
      <c r="B356" s="34" t="s">
        <v>72</v>
      </c>
      <c r="C356" s="34" t="s">
        <v>66</v>
      </c>
      <c r="D356" s="13" t="s">
        <v>589</v>
      </c>
      <c r="E356" s="13" t="s">
        <v>634</v>
      </c>
      <c r="F356" s="14">
        <f t="shared" si="49"/>
        <v>37902.799999999996</v>
      </c>
      <c r="G356" s="14">
        <f t="shared" si="49"/>
        <v>37902.7</v>
      </c>
      <c r="H356" s="14">
        <f t="shared" si="44"/>
        <v>0.09999999999854481</v>
      </c>
      <c r="I356" s="77">
        <f t="shared" si="45"/>
        <v>99.99973616724887</v>
      </c>
      <c r="L356" s="192"/>
      <c r="M356" s="192"/>
      <c r="N356" s="192"/>
      <c r="O356" s="192"/>
      <c r="P356" s="192"/>
      <c r="Q356" s="192"/>
    </row>
    <row r="357" spans="1:17" s="27" customFormat="1" ht="12.75">
      <c r="A357" s="9" t="s">
        <v>633</v>
      </c>
      <c r="B357" s="34" t="s">
        <v>72</v>
      </c>
      <c r="C357" s="34" t="s">
        <v>66</v>
      </c>
      <c r="D357" s="13" t="s">
        <v>589</v>
      </c>
      <c r="E357" s="13" t="s">
        <v>635</v>
      </c>
      <c r="F357" s="14">
        <f t="shared" si="49"/>
        <v>37902.799999999996</v>
      </c>
      <c r="G357" s="14">
        <f t="shared" si="49"/>
        <v>37902.7</v>
      </c>
      <c r="H357" s="14">
        <f t="shared" si="44"/>
        <v>0.09999999999854481</v>
      </c>
      <c r="I357" s="77">
        <f t="shared" si="45"/>
        <v>99.99973616724887</v>
      </c>
      <c r="L357" s="192"/>
      <c r="M357" s="192"/>
      <c r="N357" s="192"/>
      <c r="O357" s="192"/>
      <c r="P357" s="192"/>
      <c r="Q357" s="192"/>
    </row>
    <row r="358" spans="1:17" s="27" customFormat="1" ht="25.5">
      <c r="A358" s="9" t="s">
        <v>733</v>
      </c>
      <c r="B358" s="34" t="s">
        <v>72</v>
      </c>
      <c r="C358" s="34" t="s">
        <v>66</v>
      </c>
      <c r="D358" s="13" t="s">
        <v>589</v>
      </c>
      <c r="E358" s="13" t="s">
        <v>636</v>
      </c>
      <c r="F358" s="14">
        <f>'пр. 4 Вед'!G1183</f>
        <v>37902.799999999996</v>
      </c>
      <c r="G358" s="14">
        <f>'пр. 4 Вед'!H1183</f>
        <v>37902.7</v>
      </c>
      <c r="H358" s="14">
        <f t="shared" si="44"/>
        <v>0.09999999999854481</v>
      </c>
      <c r="I358" s="77">
        <f t="shared" si="45"/>
        <v>99.99973616724887</v>
      </c>
      <c r="L358" s="192"/>
      <c r="M358" s="192"/>
      <c r="N358" s="192"/>
      <c r="O358" s="192"/>
      <c r="P358" s="192"/>
      <c r="Q358" s="192"/>
    </row>
    <row r="359" spans="1:17" s="27" customFormat="1" ht="25.5">
      <c r="A359" s="46" t="s">
        <v>596</v>
      </c>
      <c r="B359" s="12" t="s">
        <v>72</v>
      </c>
      <c r="C359" s="12" t="s">
        <v>66</v>
      </c>
      <c r="D359" s="13" t="s">
        <v>591</v>
      </c>
      <c r="E359" s="29"/>
      <c r="F359" s="14">
        <f aca="true" t="shared" si="50" ref="F359:G362">F360</f>
        <v>11193.1</v>
      </c>
      <c r="G359" s="14">
        <f t="shared" si="50"/>
        <v>11193.1</v>
      </c>
      <c r="H359" s="14">
        <f t="shared" si="44"/>
        <v>0</v>
      </c>
      <c r="I359" s="77">
        <f t="shared" si="45"/>
        <v>100</v>
      </c>
      <c r="L359" s="192"/>
      <c r="M359" s="192"/>
      <c r="N359" s="192"/>
      <c r="O359" s="192"/>
      <c r="P359" s="192"/>
      <c r="Q359" s="192"/>
    </row>
    <row r="360" spans="1:17" s="27" customFormat="1" ht="25.5">
      <c r="A360" s="46" t="s">
        <v>597</v>
      </c>
      <c r="B360" s="12" t="s">
        <v>72</v>
      </c>
      <c r="C360" s="12" t="s">
        <v>66</v>
      </c>
      <c r="D360" s="13" t="s">
        <v>592</v>
      </c>
      <c r="E360" s="29"/>
      <c r="F360" s="14">
        <f t="shared" si="50"/>
        <v>11193.1</v>
      </c>
      <c r="G360" s="14">
        <f t="shared" si="50"/>
        <v>11193.1</v>
      </c>
      <c r="H360" s="14">
        <f t="shared" si="44"/>
        <v>0</v>
      </c>
      <c r="I360" s="77">
        <f t="shared" si="45"/>
        <v>100</v>
      </c>
      <c r="L360" s="192"/>
      <c r="M360" s="192"/>
      <c r="N360" s="192"/>
      <c r="O360" s="192"/>
      <c r="P360" s="192"/>
      <c r="Q360" s="192"/>
    </row>
    <row r="361" spans="1:17" s="27" customFormat="1" ht="12.75">
      <c r="A361" s="46" t="s">
        <v>593</v>
      </c>
      <c r="B361" s="12" t="s">
        <v>72</v>
      </c>
      <c r="C361" s="12" t="s">
        <v>66</v>
      </c>
      <c r="D361" s="13" t="s">
        <v>594</v>
      </c>
      <c r="E361" s="29"/>
      <c r="F361" s="14">
        <f t="shared" si="50"/>
        <v>11193.1</v>
      </c>
      <c r="G361" s="14">
        <f t="shared" si="50"/>
        <v>11193.1</v>
      </c>
      <c r="H361" s="14">
        <f t="shared" si="44"/>
        <v>0</v>
      </c>
      <c r="I361" s="77">
        <f t="shared" si="45"/>
        <v>100</v>
      </c>
      <c r="L361" s="192"/>
      <c r="M361" s="192"/>
      <c r="N361" s="192"/>
      <c r="O361" s="192"/>
      <c r="P361" s="192"/>
      <c r="Q361" s="192"/>
    </row>
    <row r="362" spans="1:17" s="27" customFormat="1" ht="12.75">
      <c r="A362" s="46" t="s">
        <v>137</v>
      </c>
      <c r="B362" s="12" t="s">
        <v>72</v>
      </c>
      <c r="C362" s="12" t="s">
        <v>66</v>
      </c>
      <c r="D362" s="13" t="s">
        <v>594</v>
      </c>
      <c r="E362" s="13" t="s">
        <v>138</v>
      </c>
      <c r="F362" s="14">
        <f t="shared" si="50"/>
        <v>11193.1</v>
      </c>
      <c r="G362" s="14">
        <f t="shared" si="50"/>
        <v>11193.1</v>
      </c>
      <c r="H362" s="14">
        <f t="shared" si="44"/>
        <v>0</v>
      </c>
      <c r="I362" s="77">
        <f t="shared" si="45"/>
        <v>100</v>
      </c>
      <c r="L362" s="192"/>
      <c r="M362" s="192"/>
      <c r="N362" s="192"/>
      <c r="O362" s="192"/>
      <c r="P362" s="192"/>
      <c r="Q362" s="192"/>
    </row>
    <row r="363" spans="1:17" s="27" customFormat="1" ht="25.5">
      <c r="A363" s="46" t="s">
        <v>182</v>
      </c>
      <c r="B363" s="12" t="s">
        <v>72</v>
      </c>
      <c r="C363" s="12" t="s">
        <v>66</v>
      </c>
      <c r="D363" s="13" t="s">
        <v>594</v>
      </c>
      <c r="E363" s="13" t="s">
        <v>139</v>
      </c>
      <c r="F363" s="14">
        <f>'пр. 4 Вед'!G235</f>
        <v>11193.1</v>
      </c>
      <c r="G363" s="14">
        <f>'пр. 4 Вед'!H235</f>
        <v>11193.1</v>
      </c>
      <c r="H363" s="14">
        <f t="shared" si="44"/>
        <v>0</v>
      </c>
      <c r="I363" s="77">
        <f t="shared" si="45"/>
        <v>100</v>
      </c>
      <c r="L363" s="192"/>
      <c r="M363" s="192"/>
      <c r="N363" s="192"/>
      <c r="O363" s="192"/>
      <c r="P363" s="192"/>
      <c r="Q363" s="192"/>
    </row>
    <row r="364" spans="1:17" s="27" customFormat="1" ht="38.25">
      <c r="A364" s="25" t="s">
        <v>357</v>
      </c>
      <c r="B364" s="12" t="s">
        <v>72</v>
      </c>
      <c r="C364" s="12" t="s">
        <v>66</v>
      </c>
      <c r="D364" s="45" t="s">
        <v>191</v>
      </c>
      <c r="E364" s="13"/>
      <c r="F364" s="14">
        <f aca="true" t="shared" si="51" ref="F364:G368">F365</f>
        <v>990.3</v>
      </c>
      <c r="G364" s="14">
        <f t="shared" si="51"/>
        <v>339</v>
      </c>
      <c r="H364" s="14">
        <f t="shared" si="44"/>
        <v>651.3</v>
      </c>
      <c r="I364" s="77">
        <f t="shared" si="45"/>
        <v>34.232050893668585</v>
      </c>
      <c r="L364" s="192"/>
      <c r="M364" s="192"/>
      <c r="N364" s="192"/>
      <c r="O364" s="192"/>
      <c r="P364" s="192"/>
      <c r="Q364" s="192"/>
    </row>
    <row r="365" spans="1:17" s="27" customFormat="1" ht="25.5">
      <c r="A365" s="25" t="s">
        <v>347</v>
      </c>
      <c r="B365" s="12" t="s">
        <v>72</v>
      </c>
      <c r="C365" s="12" t="s">
        <v>66</v>
      </c>
      <c r="D365" s="45" t="s">
        <v>441</v>
      </c>
      <c r="E365" s="13"/>
      <c r="F365" s="14">
        <f t="shared" si="51"/>
        <v>990.3</v>
      </c>
      <c r="G365" s="14">
        <f t="shared" si="51"/>
        <v>339</v>
      </c>
      <c r="H365" s="14">
        <f t="shared" si="44"/>
        <v>651.3</v>
      </c>
      <c r="I365" s="77">
        <f t="shared" si="45"/>
        <v>34.232050893668585</v>
      </c>
      <c r="L365" s="192"/>
      <c r="M365" s="192"/>
      <c r="N365" s="192"/>
      <c r="O365" s="192"/>
      <c r="P365" s="192"/>
      <c r="Q365" s="192"/>
    </row>
    <row r="366" spans="1:17" s="27" customFormat="1" ht="12.75">
      <c r="A366" s="9" t="s">
        <v>755</v>
      </c>
      <c r="B366" s="12" t="s">
        <v>72</v>
      </c>
      <c r="C366" s="12" t="s">
        <v>66</v>
      </c>
      <c r="D366" s="45" t="s">
        <v>756</v>
      </c>
      <c r="E366" s="13"/>
      <c r="F366" s="14">
        <f t="shared" si="51"/>
        <v>990.3</v>
      </c>
      <c r="G366" s="14">
        <f t="shared" si="51"/>
        <v>339</v>
      </c>
      <c r="H366" s="14">
        <f t="shared" si="44"/>
        <v>651.3</v>
      </c>
      <c r="I366" s="77">
        <f t="shared" si="45"/>
        <v>34.232050893668585</v>
      </c>
      <c r="L366" s="192"/>
      <c r="M366" s="192"/>
      <c r="N366" s="192"/>
      <c r="O366" s="192"/>
      <c r="P366" s="192"/>
      <c r="Q366" s="192"/>
    </row>
    <row r="367" spans="1:17" s="27" customFormat="1" ht="12.75">
      <c r="A367" s="46" t="s">
        <v>770</v>
      </c>
      <c r="B367" s="12" t="s">
        <v>72</v>
      </c>
      <c r="C367" s="12" t="s">
        <v>66</v>
      </c>
      <c r="D367" s="45" t="s">
        <v>756</v>
      </c>
      <c r="E367" s="13" t="s">
        <v>113</v>
      </c>
      <c r="F367" s="14">
        <f t="shared" si="51"/>
        <v>990.3</v>
      </c>
      <c r="G367" s="14">
        <f t="shared" si="51"/>
        <v>339</v>
      </c>
      <c r="H367" s="14">
        <f t="shared" si="44"/>
        <v>651.3</v>
      </c>
      <c r="I367" s="77">
        <f t="shared" si="45"/>
        <v>34.232050893668585</v>
      </c>
      <c r="L367" s="192"/>
      <c r="M367" s="192"/>
      <c r="N367" s="192"/>
      <c r="O367" s="192"/>
      <c r="P367" s="192"/>
      <c r="Q367" s="192"/>
    </row>
    <row r="368" spans="1:17" s="27" customFormat="1" ht="23.25" customHeight="1">
      <c r="A368" s="9" t="s">
        <v>106</v>
      </c>
      <c r="B368" s="12" t="s">
        <v>72</v>
      </c>
      <c r="C368" s="12" t="s">
        <v>66</v>
      </c>
      <c r="D368" s="45" t="s">
        <v>756</v>
      </c>
      <c r="E368" s="13" t="s">
        <v>107</v>
      </c>
      <c r="F368" s="14">
        <f t="shared" si="51"/>
        <v>990.3</v>
      </c>
      <c r="G368" s="14">
        <f t="shared" si="51"/>
        <v>339</v>
      </c>
      <c r="H368" s="14">
        <f t="shared" si="44"/>
        <v>651.3</v>
      </c>
      <c r="I368" s="77">
        <f t="shared" si="45"/>
        <v>34.232050893668585</v>
      </c>
      <c r="L368" s="192"/>
      <c r="M368" s="192"/>
      <c r="N368" s="192"/>
      <c r="O368" s="192"/>
      <c r="P368" s="192"/>
      <c r="Q368" s="192"/>
    </row>
    <row r="369" spans="1:17" s="27" customFormat="1" ht="23.25" customHeight="1">
      <c r="A369" s="9" t="s">
        <v>108</v>
      </c>
      <c r="B369" s="12" t="s">
        <v>72</v>
      </c>
      <c r="C369" s="12" t="s">
        <v>66</v>
      </c>
      <c r="D369" s="45" t="s">
        <v>756</v>
      </c>
      <c r="E369" s="13" t="s">
        <v>109</v>
      </c>
      <c r="F369" s="14">
        <f>'пр. 4 Вед'!G1189</f>
        <v>990.3</v>
      </c>
      <c r="G369" s="14">
        <f>'пр. 4 Вед'!H1189</f>
        <v>339</v>
      </c>
      <c r="H369" s="14">
        <f t="shared" si="44"/>
        <v>651.3</v>
      </c>
      <c r="I369" s="77">
        <f t="shared" si="45"/>
        <v>34.232050893668585</v>
      </c>
      <c r="L369" s="192"/>
      <c r="M369" s="192"/>
      <c r="N369" s="192"/>
      <c r="O369" s="192"/>
      <c r="P369" s="192"/>
      <c r="Q369" s="192"/>
    </row>
    <row r="370" spans="1:17" s="27" customFormat="1" ht="12.75">
      <c r="A370" s="46" t="s">
        <v>242</v>
      </c>
      <c r="B370" s="12" t="s">
        <v>72</v>
      </c>
      <c r="C370" s="12" t="s">
        <v>66</v>
      </c>
      <c r="D370" s="13" t="s">
        <v>254</v>
      </c>
      <c r="E370" s="13"/>
      <c r="F370" s="14">
        <f>F371+F383</f>
        <v>10570.2</v>
      </c>
      <c r="G370" s="14">
        <f>G371+G383</f>
        <v>10184.4</v>
      </c>
      <c r="H370" s="14">
        <f t="shared" si="44"/>
        <v>385.8000000000011</v>
      </c>
      <c r="I370" s="77">
        <f t="shared" si="45"/>
        <v>96.35011636487482</v>
      </c>
      <c r="L370" s="192"/>
      <c r="M370" s="192"/>
      <c r="N370" s="192"/>
      <c r="O370" s="192"/>
      <c r="P370" s="192"/>
      <c r="Q370" s="192"/>
    </row>
    <row r="371" spans="1:17" s="27" customFormat="1" ht="12.75">
      <c r="A371" s="46" t="s">
        <v>373</v>
      </c>
      <c r="B371" s="12" t="s">
        <v>72</v>
      </c>
      <c r="C371" s="12" t="s">
        <v>66</v>
      </c>
      <c r="D371" s="13" t="s">
        <v>508</v>
      </c>
      <c r="E371" s="13"/>
      <c r="F371" s="14">
        <f>F372+F376</f>
        <v>10103.800000000001</v>
      </c>
      <c r="G371" s="14">
        <f>G372+G376</f>
        <v>9718</v>
      </c>
      <c r="H371" s="14">
        <f t="shared" si="44"/>
        <v>385.8000000000011</v>
      </c>
      <c r="I371" s="77">
        <f t="shared" si="45"/>
        <v>96.18163463251449</v>
      </c>
      <c r="L371" s="192"/>
      <c r="M371" s="192"/>
      <c r="N371" s="192"/>
      <c r="O371" s="192"/>
      <c r="P371" s="192"/>
      <c r="Q371" s="192"/>
    </row>
    <row r="372" spans="1:17" s="27" customFormat="1" ht="12.75">
      <c r="A372" s="46" t="s">
        <v>374</v>
      </c>
      <c r="B372" s="12" t="s">
        <v>72</v>
      </c>
      <c r="C372" s="12" t="s">
        <v>66</v>
      </c>
      <c r="D372" s="13" t="s">
        <v>509</v>
      </c>
      <c r="E372" s="13"/>
      <c r="F372" s="14">
        <f aca="true" t="shared" si="52" ref="F372:G374">F373</f>
        <v>9953.6</v>
      </c>
      <c r="G372" s="14">
        <f t="shared" si="52"/>
        <v>9600</v>
      </c>
      <c r="H372" s="14">
        <f t="shared" si="44"/>
        <v>353.60000000000036</v>
      </c>
      <c r="I372" s="77">
        <f t="shared" si="45"/>
        <v>96.44751647645073</v>
      </c>
      <c r="L372" s="192"/>
      <c r="M372" s="192"/>
      <c r="N372" s="192"/>
      <c r="O372" s="192"/>
      <c r="P372" s="192"/>
      <c r="Q372" s="192"/>
    </row>
    <row r="373" spans="1:17" s="27" customFormat="1" ht="12.75">
      <c r="A373" s="46" t="s">
        <v>770</v>
      </c>
      <c r="B373" s="12" t="s">
        <v>72</v>
      </c>
      <c r="C373" s="12" t="s">
        <v>66</v>
      </c>
      <c r="D373" s="13" t="s">
        <v>509</v>
      </c>
      <c r="E373" s="13" t="s">
        <v>113</v>
      </c>
      <c r="F373" s="14">
        <f t="shared" si="52"/>
        <v>9953.6</v>
      </c>
      <c r="G373" s="14">
        <f t="shared" si="52"/>
        <v>9600</v>
      </c>
      <c r="H373" s="14">
        <f t="shared" si="44"/>
        <v>353.60000000000036</v>
      </c>
      <c r="I373" s="77">
        <f t="shared" si="45"/>
        <v>96.44751647645073</v>
      </c>
      <c r="L373" s="192"/>
      <c r="M373" s="192"/>
      <c r="N373" s="192"/>
      <c r="O373" s="192"/>
      <c r="P373" s="192"/>
      <c r="Q373" s="192"/>
    </row>
    <row r="374" spans="1:17" s="27" customFormat="1" ht="25.5">
      <c r="A374" s="46" t="s">
        <v>106</v>
      </c>
      <c r="B374" s="12" t="s">
        <v>72</v>
      </c>
      <c r="C374" s="12" t="s">
        <v>66</v>
      </c>
      <c r="D374" s="13" t="s">
        <v>509</v>
      </c>
      <c r="E374" s="13" t="s">
        <v>107</v>
      </c>
      <c r="F374" s="14">
        <f t="shared" si="52"/>
        <v>9953.6</v>
      </c>
      <c r="G374" s="14">
        <f t="shared" si="52"/>
        <v>9600</v>
      </c>
      <c r="H374" s="14">
        <f t="shared" si="44"/>
        <v>353.60000000000036</v>
      </c>
      <c r="I374" s="77">
        <f t="shared" si="45"/>
        <v>96.44751647645073</v>
      </c>
      <c r="L374" s="192"/>
      <c r="M374" s="192"/>
      <c r="N374" s="192"/>
      <c r="O374" s="192"/>
      <c r="P374" s="192"/>
      <c r="Q374" s="192"/>
    </row>
    <row r="375" spans="1:17" s="27" customFormat="1" ht="25.5">
      <c r="A375" s="46" t="s">
        <v>108</v>
      </c>
      <c r="B375" s="12" t="s">
        <v>72</v>
      </c>
      <c r="C375" s="12" t="s">
        <v>66</v>
      </c>
      <c r="D375" s="13" t="s">
        <v>509</v>
      </c>
      <c r="E375" s="13" t="s">
        <v>109</v>
      </c>
      <c r="F375" s="14">
        <f>'пр. 4 Вед'!G471+'пр. 4 Вед'!G1195+'пр. 4 Вед'!G241</f>
        <v>9953.6</v>
      </c>
      <c r="G375" s="14">
        <f>'пр. 4 Вед'!H471+'пр. 4 Вед'!H1195+'пр. 4 Вед'!H241</f>
        <v>9600</v>
      </c>
      <c r="H375" s="14">
        <f t="shared" si="44"/>
        <v>353.60000000000036</v>
      </c>
      <c r="I375" s="77">
        <f t="shared" si="45"/>
        <v>96.44751647645073</v>
      </c>
      <c r="L375" s="192"/>
      <c r="M375" s="192"/>
      <c r="N375" s="192"/>
      <c r="O375" s="192"/>
      <c r="P375" s="192"/>
      <c r="Q375" s="192"/>
    </row>
    <row r="376" spans="1:17" s="27" customFormat="1" ht="12.75">
      <c r="A376" s="46" t="s">
        <v>382</v>
      </c>
      <c r="B376" s="12" t="s">
        <v>72</v>
      </c>
      <c r="C376" s="12" t="s">
        <v>66</v>
      </c>
      <c r="D376" s="13" t="s">
        <v>531</v>
      </c>
      <c r="E376" s="13"/>
      <c r="F376" s="14">
        <f>F377+F380</f>
        <v>150.2</v>
      </c>
      <c r="G376" s="14">
        <f>G377+G380</f>
        <v>118</v>
      </c>
      <c r="H376" s="14">
        <f t="shared" si="44"/>
        <v>32.19999999999999</v>
      </c>
      <c r="I376" s="77">
        <f t="shared" si="45"/>
        <v>78.56191744340879</v>
      </c>
      <c r="L376" s="192"/>
      <c r="M376" s="192"/>
      <c r="N376" s="192"/>
      <c r="O376" s="192"/>
      <c r="P376" s="192"/>
      <c r="Q376" s="192"/>
    </row>
    <row r="377" spans="1:17" s="27" customFormat="1" ht="12.75">
      <c r="A377" s="46" t="s">
        <v>770</v>
      </c>
      <c r="B377" s="12" t="s">
        <v>72</v>
      </c>
      <c r="C377" s="12" t="s">
        <v>66</v>
      </c>
      <c r="D377" s="13" t="s">
        <v>531</v>
      </c>
      <c r="E377" s="13" t="s">
        <v>113</v>
      </c>
      <c r="F377" s="14">
        <f>F378</f>
        <v>150</v>
      </c>
      <c r="G377" s="14">
        <f>G378</f>
        <v>118</v>
      </c>
      <c r="H377" s="14">
        <f t="shared" si="44"/>
        <v>32</v>
      </c>
      <c r="I377" s="77">
        <f t="shared" si="45"/>
        <v>78.66666666666666</v>
      </c>
      <c r="L377" s="192"/>
      <c r="M377" s="192"/>
      <c r="N377" s="192"/>
      <c r="O377" s="192"/>
      <c r="P377" s="192"/>
      <c r="Q377" s="192"/>
    </row>
    <row r="378" spans="1:17" s="27" customFormat="1" ht="25.5">
      <c r="A378" s="46" t="s">
        <v>106</v>
      </c>
      <c r="B378" s="12" t="s">
        <v>72</v>
      </c>
      <c r="C378" s="12" t="s">
        <v>66</v>
      </c>
      <c r="D378" s="13" t="s">
        <v>531</v>
      </c>
      <c r="E378" s="13" t="s">
        <v>107</v>
      </c>
      <c r="F378" s="14">
        <f>F379</f>
        <v>150</v>
      </c>
      <c r="G378" s="14">
        <f>G379</f>
        <v>118</v>
      </c>
      <c r="H378" s="14">
        <f t="shared" si="44"/>
        <v>32</v>
      </c>
      <c r="I378" s="77">
        <f t="shared" si="45"/>
        <v>78.66666666666666</v>
      </c>
      <c r="L378" s="192"/>
      <c r="M378" s="192"/>
      <c r="N378" s="192"/>
      <c r="O378" s="192"/>
      <c r="P378" s="192"/>
      <c r="Q378" s="192"/>
    </row>
    <row r="379" spans="1:17" s="27" customFormat="1" ht="25.5">
      <c r="A379" s="46" t="s">
        <v>108</v>
      </c>
      <c r="B379" s="12" t="s">
        <v>72</v>
      </c>
      <c r="C379" s="12" t="s">
        <v>66</v>
      </c>
      <c r="D379" s="13" t="s">
        <v>531</v>
      </c>
      <c r="E379" s="13" t="s">
        <v>109</v>
      </c>
      <c r="F379" s="14">
        <f>'пр. 4 Вед'!G1199</f>
        <v>150</v>
      </c>
      <c r="G379" s="14">
        <f>'пр. 4 Вед'!H1199</f>
        <v>118</v>
      </c>
      <c r="H379" s="14">
        <f t="shared" si="44"/>
        <v>32</v>
      </c>
      <c r="I379" s="77">
        <f t="shared" si="45"/>
        <v>78.66666666666666</v>
      </c>
      <c r="L379" s="192"/>
      <c r="M379" s="192"/>
      <c r="N379" s="192"/>
      <c r="O379" s="192"/>
      <c r="P379" s="192"/>
      <c r="Q379" s="192"/>
    </row>
    <row r="380" spans="1:17" s="27" customFormat="1" ht="12.75">
      <c r="A380" s="9" t="s">
        <v>137</v>
      </c>
      <c r="B380" s="12" t="s">
        <v>72</v>
      </c>
      <c r="C380" s="12" t="s">
        <v>66</v>
      </c>
      <c r="D380" s="13" t="s">
        <v>531</v>
      </c>
      <c r="E380" s="13" t="s">
        <v>138</v>
      </c>
      <c r="F380" s="14">
        <f>F381</f>
        <v>0.2</v>
      </c>
      <c r="G380" s="14">
        <f>G381</f>
        <v>0</v>
      </c>
      <c r="H380" s="14">
        <f t="shared" si="44"/>
        <v>0.2</v>
      </c>
      <c r="I380" s="77">
        <f t="shared" si="45"/>
        <v>0</v>
      </c>
      <c r="L380" s="192"/>
      <c r="M380" s="192"/>
      <c r="N380" s="192"/>
      <c r="O380" s="192"/>
      <c r="P380" s="192"/>
      <c r="Q380" s="192"/>
    </row>
    <row r="381" spans="1:17" s="27" customFormat="1" ht="12.75">
      <c r="A381" s="9" t="s">
        <v>140</v>
      </c>
      <c r="B381" s="12" t="s">
        <v>72</v>
      </c>
      <c r="C381" s="12" t="s">
        <v>66</v>
      </c>
      <c r="D381" s="13" t="s">
        <v>531</v>
      </c>
      <c r="E381" s="13" t="s">
        <v>141</v>
      </c>
      <c r="F381" s="14">
        <f>F382</f>
        <v>0.2</v>
      </c>
      <c r="G381" s="14">
        <f>G382</f>
        <v>0</v>
      </c>
      <c r="H381" s="14">
        <f t="shared" si="44"/>
        <v>0.2</v>
      </c>
      <c r="I381" s="77">
        <f t="shared" si="45"/>
        <v>0</v>
      </c>
      <c r="L381" s="192"/>
      <c r="M381" s="192"/>
      <c r="N381" s="192"/>
      <c r="O381" s="192"/>
      <c r="P381" s="192"/>
      <c r="Q381" s="192"/>
    </row>
    <row r="382" spans="1:17" s="27" customFormat="1" ht="12.75">
      <c r="A382" s="9" t="s">
        <v>180</v>
      </c>
      <c r="B382" s="12" t="s">
        <v>72</v>
      </c>
      <c r="C382" s="12" t="s">
        <v>66</v>
      </c>
      <c r="D382" s="13" t="s">
        <v>531</v>
      </c>
      <c r="E382" s="13" t="s">
        <v>181</v>
      </c>
      <c r="F382" s="14">
        <f>'пр. 4 Вед'!G1202</f>
        <v>0.2</v>
      </c>
      <c r="G382" s="14">
        <f>'пр. 4 Вед'!H1202</f>
        <v>0</v>
      </c>
      <c r="H382" s="14">
        <f t="shared" si="44"/>
        <v>0.2</v>
      </c>
      <c r="I382" s="77">
        <f t="shared" si="45"/>
        <v>0</v>
      </c>
      <c r="L382" s="192"/>
      <c r="M382" s="192"/>
      <c r="N382" s="192"/>
      <c r="O382" s="192"/>
      <c r="P382" s="192"/>
      <c r="Q382" s="192"/>
    </row>
    <row r="383" spans="1:17" s="27" customFormat="1" ht="25.5">
      <c r="A383" s="46" t="s">
        <v>605</v>
      </c>
      <c r="B383" s="12" t="s">
        <v>72</v>
      </c>
      <c r="C383" s="12" t="s">
        <v>66</v>
      </c>
      <c r="D383" s="13" t="s">
        <v>606</v>
      </c>
      <c r="E383" s="13"/>
      <c r="F383" s="14">
        <f>F384+F387</f>
        <v>466.4</v>
      </c>
      <c r="G383" s="14">
        <f>G384+G387</f>
        <v>466.4</v>
      </c>
      <c r="H383" s="14">
        <f t="shared" si="44"/>
        <v>0</v>
      </c>
      <c r="I383" s="77">
        <f t="shared" si="45"/>
        <v>100</v>
      </c>
      <c r="L383" s="192"/>
      <c r="M383" s="192"/>
      <c r="N383" s="192"/>
      <c r="O383" s="192"/>
      <c r="P383" s="192"/>
      <c r="Q383" s="192"/>
    </row>
    <row r="384" spans="1:17" s="27" customFormat="1" ht="25.5">
      <c r="A384" s="46" t="s">
        <v>607</v>
      </c>
      <c r="B384" s="12" t="s">
        <v>72</v>
      </c>
      <c r="C384" s="12" t="s">
        <v>66</v>
      </c>
      <c r="D384" s="13" t="s">
        <v>608</v>
      </c>
      <c r="E384" s="13"/>
      <c r="F384" s="14">
        <f>F385</f>
        <v>90</v>
      </c>
      <c r="G384" s="14">
        <f>G385</f>
        <v>90</v>
      </c>
      <c r="H384" s="14">
        <f t="shared" si="44"/>
        <v>0</v>
      </c>
      <c r="I384" s="77">
        <f t="shared" si="45"/>
        <v>100</v>
      </c>
      <c r="L384" s="192"/>
      <c r="M384" s="192"/>
      <c r="N384" s="192"/>
      <c r="O384" s="192"/>
      <c r="P384" s="192"/>
      <c r="Q384" s="192"/>
    </row>
    <row r="385" spans="1:17" s="27" customFormat="1" ht="12.75">
      <c r="A385" s="46" t="s">
        <v>137</v>
      </c>
      <c r="B385" s="12" t="s">
        <v>72</v>
      </c>
      <c r="C385" s="12" t="s">
        <v>66</v>
      </c>
      <c r="D385" s="13" t="s">
        <v>608</v>
      </c>
      <c r="E385" s="13" t="s">
        <v>138</v>
      </c>
      <c r="F385" s="14">
        <f>F386</f>
        <v>90</v>
      </c>
      <c r="G385" s="14">
        <f>G386</f>
        <v>90</v>
      </c>
      <c r="H385" s="14">
        <f t="shared" si="44"/>
        <v>0</v>
      </c>
      <c r="I385" s="77">
        <f t="shared" si="45"/>
        <v>100</v>
      </c>
      <c r="L385" s="192"/>
      <c r="M385" s="192"/>
      <c r="N385" s="192"/>
      <c r="O385" s="192"/>
      <c r="P385" s="192"/>
      <c r="Q385" s="192"/>
    </row>
    <row r="386" spans="1:17" s="27" customFormat="1" ht="25.5">
      <c r="A386" s="46" t="s">
        <v>182</v>
      </c>
      <c r="B386" s="12" t="s">
        <v>72</v>
      </c>
      <c r="C386" s="12" t="s">
        <v>66</v>
      </c>
      <c r="D386" s="13" t="s">
        <v>608</v>
      </c>
      <c r="E386" s="13" t="s">
        <v>139</v>
      </c>
      <c r="F386" s="14">
        <f>'пр. 4 Вед'!G245</f>
        <v>90</v>
      </c>
      <c r="G386" s="14">
        <f>'пр. 4 Вед'!H245</f>
        <v>90</v>
      </c>
      <c r="H386" s="14">
        <f t="shared" si="44"/>
        <v>0</v>
      </c>
      <c r="I386" s="77">
        <f t="shared" si="45"/>
        <v>100</v>
      </c>
      <c r="L386" s="192"/>
      <c r="M386" s="192"/>
      <c r="N386" s="192"/>
      <c r="O386" s="192"/>
      <c r="P386" s="192"/>
      <c r="Q386" s="192"/>
    </row>
    <row r="387" spans="1:17" s="27" customFormat="1" ht="25.5">
      <c r="A387" s="46" t="s">
        <v>609</v>
      </c>
      <c r="B387" s="12" t="s">
        <v>72</v>
      </c>
      <c r="C387" s="12" t="s">
        <v>66</v>
      </c>
      <c r="D387" s="13" t="s">
        <v>610</v>
      </c>
      <c r="E387" s="13"/>
      <c r="F387" s="14">
        <f>F389</f>
        <v>376.4</v>
      </c>
      <c r="G387" s="14">
        <f>G389</f>
        <v>376.4</v>
      </c>
      <c r="H387" s="14">
        <f t="shared" si="44"/>
        <v>0</v>
      </c>
      <c r="I387" s="77">
        <f t="shared" si="45"/>
        <v>100</v>
      </c>
      <c r="L387" s="192"/>
      <c r="M387" s="192"/>
      <c r="N387" s="192"/>
      <c r="O387" s="192"/>
      <c r="P387" s="192"/>
      <c r="Q387" s="192"/>
    </row>
    <row r="388" spans="1:17" s="27" customFormat="1" ht="12.75">
      <c r="A388" s="46" t="s">
        <v>137</v>
      </c>
      <c r="B388" s="12" t="s">
        <v>72</v>
      </c>
      <c r="C388" s="12" t="s">
        <v>66</v>
      </c>
      <c r="D388" s="13" t="s">
        <v>610</v>
      </c>
      <c r="E388" s="13" t="s">
        <v>138</v>
      </c>
      <c r="F388" s="14">
        <f>F389</f>
        <v>376.4</v>
      </c>
      <c r="G388" s="14">
        <f>G389</f>
        <v>376.4</v>
      </c>
      <c r="H388" s="14">
        <f t="shared" si="44"/>
        <v>0</v>
      </c>
      <c r="I388" s="77">
        <f t="shared" si="45"/>
        <v>100</v>
      </c>
      <c r="L388" s="192"/>
      <c r="M388" s="192"/>
      <c r="N388" s="192"/>
      <c r="O388" s="192"/>
      <c r="P388" s="192"/>
      <c r="Q388" s="192"/>
    </row>
    <row r="389" spans="1:17" s="27" customFormat="1" ht="12.75">
      <c r="A389" s="46" t="s">
        <v>611</v>
      </c>
      <c r="B389" s="12" t="s">
        <v>72</v>
      </c>
      <c r="C389" s="12" t="s">
        <v>66</v>
      </c>
      <c r="D389" s="13" t="s">
        <v>610</v>
      </c>
      <c r="E389" s="13" t="s">
        <v>612</v>
      </c>
      <c r="F389" s="14">
        <f>F390</f>
        <v>376.4</v>
      </c>
      <c r="G389" s="14">
        <f>G390</f>
        <v>376.4</v>
      </c>
      <c r="H389" s="14">
        <f t="shared" si="44"/>
        <v>0</v>
      </c>
      <c r="I389" s="77">
        <f t="shared" si="45"/>
        <v>100</v>
      </c>
      <c r="L389" s="192"/>
      <c r="M389" s="192"/>
      <c r="N389" s="192"/>
      <c r="O389" s="192"/>
      <c r="P389" s="192"/>
      <c r="Q389" s="192"/>
    </row>
    <row r="390" spans="1:17" s="27" customFormat="1" ht="38.25" customHeight="1">
      <c r="A390" s="46" t="str">
        <f>'пр. 4 Вед'!A249</f>
        <v>Исполнение судебных актов Российской Федерациии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
</v>
      </c>
      <c r="B390" s="12" t="s">
        <v>72</v>
      </c>
      <c r="C390" s="12" t="s">
        <v>66</v>
      </c>
      <c r="D390" s="13" t="s">
        <v>610</v>
      </c>
      <c r="E390" s="13" t="s">
        <v>613</v>
      </c>
      <c r="F390" s="14">
        <f>'пр. 4 Вед'!G249</f>
        <v>376.4</v>
      </c>
      <c r="G390" s="14">
        <f>'пр. 4 Вед'!H249</f>
        <v>376.4</v>
      </c>
      <c r="H390" s="14">
        <f t="shared" si="44"/>
        <v>0</v>
      </c>
      <c r="I390" s="77">
        <f t="shared" si="45"/>
        <v>100</v>
      </c>
      <c r="L390" s="192"/>
      <c r="M390" s="192"/>
      <c r="N390" s="192"/>
      <c r="O390" s="192"/>
      <c r="P390" s="192"/>
      <c r="Q390" s="192"/>
    </row>
    <row r="391" spans="1:17" s="27" customFormat="1" ht="12.75">
      <c r="A391" s="60" t="s">
        <v>244</v>
      </c>
      <c r="B391" s="37" t="s">
        <v>72</v>
      </c>
      <c r="C391" s="37" t="s">
        <v>67</v>
      </c>
      <c r="D391" s="57"/>
      <c r="E391" s="29"/>
      <c r="F391" s="30">
        <f>F392+F414+F400+F423</f>
        <v>48231.2</v>
      </c>
      <c r="G391" s="30">
        <f>G392+G414+G400+G423</f>
        <v>48008.899999999994</v>
      </c>
      <c r="H391" s="30">
        <f t="shared" si="44"/>
        <v>222.3000000000029</v>
      </c>
      <c r="I391" s="82">
        <f t="shared" si="45"/>
        <v>99.53909502562655</v>
      </c>
      <c r="L391" s="192"/>
      <c r="M391" s="192"/>
      <c r="N391" s="192"/>
      <c r="O391" s="192"/>
      <c r="P391" s="192"/>
      <c r="Q391" s="192"/>
    </row>
    <row r="392" spans="1:17" s="27" customFormat="1" ht="25.5">
      <c r="A392" s="46" t="s">
        <v>375</v>
      </c>
      <c r="B392" s="12" t="s">
        <v>72</v>
      </c>
      <c r="C392" s="12" t="s">
        <v>67</v>
      </c>
      <c r="D392" s="45" t="s">
        <v>376</v>
      </c>
      <c r="E392" s="13"/>
      <c r="F392" s="14">
        <f>F393</f>
        <v>2700</v>
      </c>
      <c r="G392" s="14">
        <f>G393</f>
        <v>2683.4</v>
      </c>
      <c r="H392" s="14">
        <f t="shared" si="44"/>
        <v>16.59999999999991</v>
      </c>
      <c r="I392" s="77">
        <f t="shared" si="45"/>
        <v>99.3851851851852</v>
      </c>
      <c r="L392" s="192"/>
      <c r="M392" s="192"/>
      <c r="N392" s="192"/>
      <c r="O392" s="192"/>
      <c r="P392" s="192"/>
      <c r="Q392" s="192"/>
    </row>
    <row r="393" spans="1:17" s="27" customFormat="1" ht="12.75">
      <c r="A393" s="46" t="s">
        <v>372</v>
      </c>
      <c r="B393" s="12" t="s">
        <v>72</v>
      </c>
      <c r="C393" s="12" t="s">
        <v>67</v>
      </c>
      <c r="D393" s="45" t="s">
        <v>498</v>
      </c>
      <c r="E393" s="13"/>
      <c r="F393" s="14">
        <f>F394+F397</f>
        <v>2700</v>
      </c>
      <c r="G393" s="14">
        <f>G394+G397</f>
        <v>2683.4</v>
      </c>
      <c r="H393" s="14">
        <f aca="true" t="shared" si="53" ref="H393:H456">F393-G393</f>
        <v>16.59999999999991</v>
      </c>
      <c r="I393" s="77">
        <f aca="true" t="shared" si="54" ref="I393:I456">G393/F393*100</f>
        <v>99.3851851851852</v>
      </c>
      <c r="L393" s="192"/>
      <c r="M393" s="192"/>
      <c r="N393" s="192"/>
      <c r="O393" s="192"/>
      <c r="P393" s="192"/>
      <c r="Q393" s="192"/>
    </row>
    <row r="394" spans="1:17" s="27" customFormat="1" ht="25.5">
      <c r="A394" s="9" t="s">
        <v>657</v>
      </c>
      <c r="B394" s="12" t="s">
        <v>72</v>
      </c>
      <c r="C394" s="12" t="s">
        <v>67</v>
      </c>
      <c r="D394" s="45" t="s">
        <v>499</v>
      </c>
      <c r="E394" s="13"/>
      <c r="F394" s="14">
        <f>F395</f>
        <v>1700</v>
      </c>
      <c r="G394" s="14">
        <f>G395</f>
        <v>1683.4</v>
      </c>
      <c r="H394" s="14">
        <f t="shared" si="53"/>
        <v>16.59999999999991</v>
      </c>
      <c r="I394" s="77">
        <f t="shared" si="54"/>
        <v>99.02352941176471</v>
      </c>
      <c r="L394" s="192"/>
      <c r="M394" s="192"/>
      <c r="N394" s="192"/>
      <c r="O394" s="192"/>
      <c r="P394" s="192"/>
      <c r="Q394" s="192"/>
    </row>
    <row r="395" spans="1:17" s="27" customFormat="1" ht="12.75">
      <c r="A395" s="46" t="s">
        <v>137</v>
      </c>
      <c r="B395" s="12" t="s">
        <v>72</v>
      </c>
      <c r="C395" s="12" t="s">
        <v>67</v>
      </c>
      <c r="D395" s="45" t="s">
        <v>499</v>
      </c>
      <c r="E395" s="13" t="s">
        <v>138</v>
      </c>
      <c r="F395" s="14">
        <f>F396</f>
        <v>1700</v>
      </c>
      <c r="G395" s="14">
        <f>G396</f>
        <v>1683.4</v>
      </c>
      <c r="H395" s="14">
        <f t="shared" si="53"/>
        <v>16.59999999999991</v>
      </c>
      <c r="I395" s="77">
        <f t="shared" si="54"/>
        <v>99.02352941176471</v>
      </c>
      <c r="L395" s="192"/>
      <c r="M395" s="192"/>
      <c r="N395" s="192"/>
      <c r="O395" s="192"/>
      <c r="P395" s="192"/>
      <c r="Q395" s="192"/>
    </row>
    <row r="396" spans="1:17" s="27" customFormat="1" ht="25.5">
      <c r="A396" s="46" t="s">
        <v>182</v>
      </c>
      <c r="B396" s="12" t="s">
        <v>72</v>
      </c>
      <c r="C396" s="12" t="s">
        <v>67</v>
      </c>
      <c r="D396" s="45" t="s">
        <v>499</v>
      </c>
      <c r="E396" s="13" t="s">
        <v>139</v>
      </c>
      <c r="F396" s="14">
        <f>'пр. 4 Вед'!G1208</f>
        <v>1700</v>
      </c>
      <c r="G396" s="14">
        <f>'пр. 4 Вед'!H1208</f>
        <v>1683.4</v>
      </c>
      <c r="H396" s="14">
        <f t="shared" si="53"/>
        <v>16.59999999999991</v>
      </c>
      <c r="I396" s="77">
        <f t="shared" si="54"/>
        <v>99.02352941176471</v>
      </c>
      <c r="L396" s="192"/>
      <c r="M396" s="192"/>
      <c r="N396" s="192"/>
      <c r="O396" s="192"/>
      <c r="P396" s="192"/>
      <c r="Q396" s="192"/>
    </row>
    <row r="397" spans="1:17" s="27" customFormat="1" ht="25.5">
      <c r="A397" s="9" t="s">
        <v>637</v>
      </c>
      <c r="B397" s="12" t="s">
        <v>72</v>
      </c>
      <c r="C397" s="12" t="s">
        <v>67</v>
      </c>
      <c r="D397" s="45" t="s">
        <v>638</v>
      </c>
      <c r="E397" s="13"/>
      <c r="F397" s="14">
        <f>F398</f>
        <v>1000</v>
      </c>
      <c r="G397" s="14">
        <f>G398</f>
        <v>1000</v>
      </c>
      <c r="H397" s="14">
        <f t="shared" si="53"/>
        <v>0</v>
      </c>
      <c r="I397" s="77">
        <f t="shared" si="54"/>
        <v>100</v>
      </c>
      <c r="L397" s="192"/>
      <c r="M397" s="192"/>
      <c r="N397" s="192"/>
      <c r="O397" s="192"/>
      <c r="P397" s="192"/>
      <c r="Q397" s="192"/>
    </row>
    <row r="398" spans="1:17" s="27" customFormat="1" ht="12.75">
      <c r="A398" s="46" t="s">
        <v>137</v>
      </c>
      <c r="B398" s="12" t="s">
        <v>72</v>
      </c>
      <c r="C398" s="12" t="s">
        <v>67</v>
      </c>
      <c r="D398" s="45" t="s">
        <v>638</v>
      </c>
      <c r="E398" s="13" t="s">
        <v>138</v>
      </c>
      <c r="F398" s="14">
        <f>F399</f>
        <v>1000</v>
      </c>
      <c r="G398" s="14">
        <f>G399</f>
        <v>1000</v>
      </c>
      <c r="H398" s="14">
        <f t="shared" si="53"/>
        <v>0</v>
      </c>
      <c r="I398" s="77">
        <f t="shared" si="54"/>
        <v>100</v>
      </c>
      <c r="L398" s="192"/>
      <c r="M398" s="192"/>
      <c r="N398" s="192"/>
      <c r="O398" s="192"/>
      <c r="P398" s="192"/>
      <c r="Q398" s="192"/>
    </row>
    <row r="399" spans="1:17" s="27" customFormat="1" ht="25.5">
      <c r="A399" s="46" t="s">
        <v>182</v>
      </c>
      <c r="B399" s="12" t="s">
        <v>72</v>
      </c>
      <c r="C399" s="12" t="s">
        <v>67</v>
      </c>
      <c r="D399" s="45" t="s">
        <v>638</v>
      </c>
      <c r="E399" s="13" t="s">
        <v>139</v>
      </c>
      <c r="F399" s="14">
        <f>'пр. 4 Вед'!G1211</f>
        <v>1000</v>
      </c>
      <c r="G399" s="14">
        <f>'пр. 4 Вед'!H1211</f>
        <v>1000</v>
      </c>
      <c r="H399" s="14">
        <f t="shared" si="53"/>
        <v>0</v>
      </c>
      <c r="I399" s="77">
        <f t="shared" si="54"/>
        <v>100</v>
      </c>
      <c r="L399" s="192"/>
      <c r="M399" s="192"/>
      <c r="N399" s="192"/>
      <c r="O399" s="192"/>
      <c r="P399" s="192"/>
      <c r="Q399" s="192"/>
    </row>
    <row r="400" spans="1:17" s="27" customFormat="1" ht="25.5">
      <c r="A400" s="9" t="s">
        <v>639</v>
      </c>
      <c r="B400" s="12" t="s">
        <v>72</v>
      </c>
      <c r="C400" s="12" t="s">
        <v>67</v>
      </c>
      <c r="D400" s="45" t="s">
        <v>643</v>
      </c>
      <c r="E400" s="13"/>
      <c r="F400" s="14">
        <f>F401</f>
        <v>19711.2</v>
      </c>
      <c r="G400" s="14">
        <f>G401</f>
        <v>19710.1</v>
      </c>
      <c r="H400" s="14">
        <f t="shared" si="53"/>
        <v>1.1000000000021828</v>
      </c>
      <c r="I400" s="77">
        <f t="shared" si="54"/>
        <v>99.99441941637241</v>
      </c>
      <c r="L400" s="192"/>
      <c r="M400" s="192"/>
      <c r="N400" s="192"/>
      <c r="O400" s="192"/>
      <c r="P400" s="192"/>
      <c r="Q400" s="192"/>
    </row>
    <row r="401" spans="1:17" s="27" customFormat="1" ht="25.5">
      <c r="A401" s="9" t="s">
        <v>640</v>
      </c>
      <c r="B401" s="12" t="s">
        <v>72</v>
      </c>
      <c r="C401" s="12" t="s">
        <v>67</v>
      </c>
      <c r="D401" s="45" t="s">
        <v>644</v>
      </c>
      <c r="E401" s="13"/>
      <c r="F401" s="14">
        <f>F408+F402</f>
        <v>19711.2</v>
      </c>
      <c r="G401" s="14">
        <f>G408+G402</f>
        <v>19710.1</v>
      </c>
      <c r="H401" s="14">
        <f t="shared" si="53"/>
        <v>1.1000000000021828</v>
      </c>
      <c r="I401" s="77">
        <f t="shared" si="54"/>
        <v>99.99441941637241</v>
      </c>
      <c r="L401" s="192"/>
      <c r="M401" s="192"/>
      <c r="N401" s="192"/>
      <c r="O401" s="192"/>
      <c r="P401" s="192"/>
      <c r="Q401" s="192"/>
    </row>
    <row r="402" spans="1:17" s="27" customFormat="1" ht="25.5">
      <c r="A402" s="9" t="s">
        <v>701</v>
      </c>
      <c r="B402" s="12" t="s">
        <v>72</v>
      </c>
      <c r="C402" s="12" t="s">
        <v>67</v>
      </c>
      <c r="D402" s="45" t="s">
        <v>702</v>
      </c>
      <c r="E402" s="13"/>
      <c r="F402" s="14">
        <f>F403+F406</f>
        <v>19406.8</v>
      </c>
      <c r="G402" s="14">
        <f>G403+G406</f>
        <v>19405.8</v>
      </c>
      <c r="H402" s="14">
        <f t="shared" si="53"/>
        <v>1</v>
      </c>
      <c r="I402" s="77">
        <f t="shared" si="54"/>
        <v>99.9948471669724</v>
      </c>
      <c r="L402" s="192"/>
      <c r="M402" s="192"/>
      <c r="N402" s="192"/>
      <c r="O402" s="192"/>
      <c r="P402" s="192"/>
      <c r="Q402" s="192"/>
    </row>
    <row r="403" spans="1:17" s="27" customFormat="1" ht="12.75">
      <c r="A403" s="46" t="s">
        <v>770</v>
      </c>
      <c r="B403" s="12" t="s">
        <v>72</v>
      </c>
      <c r="C403" s="12" t="s">
        <v>67</v>
      </c>
      <c r="D403" s="45" t="s">
        <v>702</v>
      </c>
      <c r="E403" s="13" t="s">
        <v>113</v>
      </c>
      <c r="F403" s="14">
        <f>F404</f>
        <v>3222.9000000000005</v>
      </c>
      <c r="G403" s="14">
        <f>G404</f>
        <v>3222.9</v>
      </c>
      <c r="H403" s="14">
        <f t="shared" si="53"/>
        <v>0</v>
      </c>
      <c r="I403" s="77">
        <f t="shared" si="54"/>
        <v>99.99999999999999</v>
      </c>
      <c r="L403" s="192"/>
      <c r="M403" s="192"/>
      <c r="N403" s="192"/>
      <c r="O403" s="192"/>
      <c r="P403" s="192"/>
      <c r="Q403" s="192"/>
    </row>
    <row r="404" spans="1:17" s="27" customFormat="1" ht="23.25" customHeight="1">
      <c r="A404" s="9" t="s">
        <v>106</v>
      </c>
      <c r="B404" s="12" t="s">
        <v>72</v>
      </c>
      <c r="C404" s="12" t="s">
        <v>67</v>
      </c>
      <c r="D404" s="45" t="s">
        <v>702</v>
      </c>
      <c r="E404" s="13" t="s">
        <v>107</v>
      </c>
      <c r="F404" s="14">
        <f>F405</f>
        <v>3222.9000000000005</v>
      </c>
      <c r="G404" s="14">
        <f>G405</f>
        <v>3222.9</v>
      </c>
      <c r="H404" s="14">
        <f t="shared" si="53"/>
        <v>0</v>
      </c>
      <c r="I404" s="77">
        <f t="shared" si="54"/>
        <v>99.99999999999999</v>
      </c>
      <c r="L404" s="192"/>
      <c r="M404" s="192"/>
      <c r="N404" s="192"/>
      <c r="O404" s="192"/>
      <c r="P404" s="192"/>
      <c r="Q404" s="192"/>
    </row>
    <row r="405" spans="1:17" s="27" customFormat="1" ht="23.25" customHeight="1">
      <c r="A405" s="9" t="s">
        <v>108</v>
      </c>
      <c r="B405" s="12" t="s">
        <v>72</v>
      </c>
      <c r="C405" s="12" t="s">
        <v>67</v>
      </c>
      <c r="D405" s="45" t="s">
        <v>702</v>
      </c>
      <c r="E405" s="13" t="s">
        <v>109</v>
      </c>
      <c r="F405" s="14">
        <f>'пр. 4 Вед'!G1217</f>
        <v>3222.9000000000005</v>
      </c>
      <c r="G405" s="14">
        <f>'пр. 4 Вед'!H1217</f>
        <v>3222.9</v>
      </c>
      <c r="H405" s="14">
        <f t="shared" si="53"/>
        <v>0</v>
      </c>
      <c r="I405" s="77">
        <f t="shared" si="54"/>
        <v>99.99999999999999</v>
      </c>
      <c r="L405" s="192"/>
      <c r="M405" s="192"/>
      <c r="N405" s="192"/>
      <c r="O405" s="192"/>
      <c r="P405" s="192"/>
      <c r="Q405" s="192"/>
    </row>
    <row r="406" spans="1:17" s="27" customFormat="1" ht="12.75">
      <c r="A406" s="46" t="s">
        <v>137</v>
      </c>
      <c r="B406" s="12" t="s">
        <v>72</v>
      </c>
      <c r="C406" s="12" t="s">
        <v>67</v>
      </c>
      <c r="D406" s="45" t="s">
        <v>702</v>
      </c>
      <c r="E406" s="13" t="s">
        <v>138</v>
      </c>
      <c r="F406" s="14">
        <f>F407</f>
        <v>16183.9</v>
      </c>
      <c r="G406" s="14">
        <f>G407</f>
        <v>16182.9</v>
      </c>
      <c r="H406" s="14">
        <f t="shared" si="53"/>
        <v>1</v>
      </c>
      <c r="I406" s="77">
        <f t="shared" si="54"/>
        <v>99.99382101965534</v>
      </c>
      <c r="L406" s="192"/>
      <c r="M406" s="192"/>
      <c r="N406" s="192"/>
      <c r="O406" s="192"/>
      <c r="P406" s="192"/>
      <c r="Q406" s="192"/>
    </row>
    <row r="407" spans="1:17" s="27" customFormat="1" ht="25.5">
      <c r="A407" s="46" t="s">
        <v>182</v>
      </c>
      <c r="B407" s="12" t="s">
        <v>72</v>
      </c>
      <c r="C407" s="12" t="s">
        <v>67</v>
      </c>
      <c r="D407" s="45" t="s">
        <v>702</v>
      </c>
      <c r="E407" s="13" t="s">
        <v>139</v>
      </c>
      <c r="F407" s="14">
        <f>'пр. 4 Вед'!G1219</f>
        <v>16183.9</v>
      </c>
      <c r="G407" s="14">
        <f>'пр. 4 Вед'!H1219</f>
        <v>16182.9</v>
      </c>
      <c r="H407" s="14">
        <f t="shared" si="53"/>
        <v>1</v>
      </c>
      <c r="I407" s="77">
        <f t="shared" si="54"/>
        <v>99.99382101965534</v>
      </c>
      <c r="L407" s="192"/>
      <c r="M407" s="192"/>
      <c r="N407" s="192"/>
      <c r="O407" s="192"/>
      <c r="P407" s="192"/>
      <c r="Q407" s="192"/>
    </row>
    <row r="408" spans="1:17" s="27" customFormat="1" ht="12.75">
      <c r="A408" s="9" t="s">
        <v>641</v>
      </c>
      <c r="B408" s="12" t="s">
        <v>72</v>
      </c>
      <c r="C408" s="12" t="s">
        <v>67</v>
      </c>
      <c r="D408" s="45" t="s">
        <v>665</v>
      </c>
      <c r="E408" s="13"/>
      <c r="F408" s="14">
        <f>F409+F412</f>
        <v>304.4</v>
      </c>
      <c r="G408" s="14">
        <f>G409+G412</f>
        <v>304.3</v>
      </c>
      <c r="H408" s="14">
        <f t="shared" si="53"/>
        <v>0.0999999999999659</v>
      </c>
      <c r="I408" s="77">
        <f t="shared" si="54"/>
        <v>99.96714848883049</v>
      </c>
      <c r="L408" s="192"/>
      <c r="M408" s="192"/>
      <c r="N408" s="192"/>
      <c r="O408" s="192"/>
      <c r="P408" s="192"/>
      <c r="Q408" s="192"/>
    </row>
    <row r="409" spans="1:17" s="27" customFormat="1" ht="12.75">
      <c r="A409" s="46" t="s">
        <v>770</v>
      </c>
      <c r="B409" s="12" t="s">
        <v>72</v>
      </c>
      <c r="C409" s="12" t="s">
        <v>67</v>
      </c>
      <c r="D409" s="45" t="s">
        <v>665</v>
      </c>
      <c r="E409" s="13" t="s">
        <v>113</v>
      </c>
      <c r="F409" s="14">
        <f>F410</f>
        <v>107.1</v>
      </c>
      <c r="G409" s="14">
        <f>G410</f>
        <v>107</v>
      </c>
      <c r="H409" s="14">
        <f t="shared" si="53"/>
        <v>0.09999999999999432</v>
      </c>
      <c r="I409" s="77">
        <f t="shared" si="54"/>
        <v>99.90662931839402</v>
      </c>
      <c r="L409" s="192"/>
      <c r="M409" s="192"/>
      <c r="N409" s="192"/>
      <c r="O409" s="192"/>
      <c r="P409" s="192"/>
      <c r="Q409" s="192"/>
    </row>
    <row r="410" spans="1:17" s="27" customFormat="1" ht="27" customHeight="1">
      <c r="A410" s="9" t="s">
        <v>106</v>
      </c>
      <c r="B410" s="12" t="s">
        <v>72</v>
      </c>
      <c r="C410" s="12" t="s">
        <v>67</v>
      </c>
      <c r="D410" s="45" t="s">
        <v>665</v>
      </c>
      <c r="E410" s="13" t="s">
        <v>107</v>
      </c>
      <c r="F410" s="14">
        <f>F411</f>
        <v>107.1</v>
      </c>
      <c r="G410" s="14">
        <f>G411</f>
        <v>107</v>
      </c>
      <c r="H410" s="14">
        <f t="shared" si="53"/>
        <v>0.09999999999999432</v>
      </c>
      <c r="I410" s="77">
        <f t="shared" si="54"/>
        <v>99.90662931839402</v>
      </c>
      <c r="L410" s="192"/>
      <c r="M410" s="192"/>
      <c r="N410" s="192"/>
      <c r="O410" s="192"/>
      <c r="P410" s="192"/>
      <c r="Q410" s="192"/>
    </row>
    <row r="411" spans="1:17" s="27" customFormat="1" ht="27" customHeight="1">
      <c r="A411" s="9" t="s">
        <v>108</v>
      </c>
      <c r="B411" s="12" t="s">
        <v>72</v>
      </c>
      <c r="C411" s="12" t="s">
        <v>67</v>
      </c>
      <c r="D411" s="45" t="s">
        <v>665</v>
      </c>
      <c r="E411" s="13" t="s">
        <v>109</v>
      </c>
      <c r="F411" s="14">
        <f>'пр. 4 Вед'!G1223</f>
        <v>107.1</v>
      </c>
      <c r="G411" s="14">
        <f>'пр. 4 Вед'!H1223</f>
        <v>107</v>
      </c>
      <c r="H411" s="14">
        <f t="shared" si="53"/>
        <v>0.09999999999999432</v>
      </c>
      <c r="I411" s="77">
        <f t="shared" si="54"/>
        <v>99.90662931839402</v>
      </c>
      <c r="L411" s="192"/>
      <c r="M411" s="192"/>
      <c r="N411" s="192"/>
      <c r="O411" s="192"/>
      <c r="P411" s="192"/>
      <c r="Q411" s="192"/>
    </row>
    <row r="412" spans="1:17" s="27" customFormat="1" ht="12.75">
      <c r="A412" s="9" t="s">
        <v>137</v>
      </c>
      <c r="B412" s="12" t="s">
        <v>72</v>
      </c>
      <c r="C412" s="12" t="s">
        <v>67</v>
      </c>
      <c r="D412" s="45" t="s">
        <v>665</v>
      </c>
      <c r="E412" s="13" t="s">
        <v>138</v>
      </c>
      <c r="F412" s="14">
        <f>F413</f>
        <v>197.3</v>
      </c>
      <c r="G412" s="14">
        <f>G413</f>
        <v>197.3</v>
      </c>
      <c r="H412" s="14">
        <f t="shared" si="53"/>
        <v>0</v>
      </c>
      <c r="I412" s="77">
        <f t="shared" si="54"/>
        <v>100</v>
      </c>
      <c r="L412" s="192"/>
      <c r="M412" s="192"/>
      <c r="N412" s="192"/>
      <c r="O412" s="192"/>
      <c r="P412" s="192"/>
      <c r="Q412" s="192"/>
    </row>
    <row r="413" spans="1:17" s="27" customFormat="1" ht="25.5">
      <c r="A413" s="9" t="s">
        <v>182</v>
      </c>
      <c r="B413" s="12" t="s">
        <v>72</v>
      </c>
      <c r="C413" s="12" t="s">
        <v>67</v>
      </c>
      <c r="D413" s="45" t="s">
        <v>665</v>
      </c>
      <c r="E413" s="13" t="s">
        <v>139</v>
      </c>
      <c r="F413" s="14">
        <f>'пр. 4 Вед'!G1225</f>
        <v>197.3</v>
      </c>
      <c r="G413" s="14">
        <f>'пр. 4 Вед'!H1225</f>
        <v>197.3</v>
      </c>
      <c r="H413" s="14">
        <f t="shared" si="53"/>
        <v>0</v>
      </c>
      <c r="I413" s="77">
        <f t="shared" si="54"/>
        <v>100</v>
      </c>
      <c r="L413" s="192"/>
      <c r="M413" s="192"/>
      <c r="N413" s="192"/>
      <c r="O413" s="192"/>
      <c r="P413" s="192"/>
      <c r="Q413" s="192"/>
    </row>
    <row r="414" spans="1:17" s="27" customFormat="1" ht="12.75">
      <c r="A414" s="46" t="s">
        <v>245</v>
      </c>
      <c r="B414" s="12" t="s">
        <v>72</v>
      </c>
      <c r="C414" s="12" t="s">
        <v>67</v>
      </c>
      <c r="D414" s="13" t="s">
        <v>257</v>
      </c>
      <c r="E414" s="13"/>
      <c r="F414" s="14">
        <f>F415</f>
        <v>5820</v>
      </c>
      <c r="G414" s="14">
        <f>G415</f>
        <v>5615.4</v>
      </c>
      <c r="H414" s="14">
        <f t="shared" si="53"/>
        <v>204.60000000000036</v>
      </c>
      <c r="I414" s="77">
        <f t="shared" si="54"/>
        <v>96.48453608247422</v>
      </c>
      <c r="L414" s="192"/>
      <c r="M414" s="192"/>
      <c r="N414" s="192"/>
      <c r="O414" s="192"/>
      <c r="P414" s="192"/>
      <c r="Q414" s="192"/>
    </row>
    <row r="415" spans="1:17" s="27" customFormat="1" ht="12.75">
      <c r="A415" s="46" t="s">
        <v>344</v>
      </c>
      <c r="B415" s="12" t="s">
        <v>72</v>
      </c>
      <c r="C415" s="12" t="s">
        <v>67</v>
      </c>
      <c r="D415" s="13" t="s">
        <v>532</v>
      </c>
      <c r="E415" s="13"/>
      <c r="F415" s="14">
        <f>F416+F419</f>
        <v>5820</v>
      </c>
      <c r="G415" s="14">
        <f>G416+G419</f>
        <v>5615.4</v>
      </c>
      <c r="H415" s="14">
        <f t="shared" si="53"/>
        <v>204.60000000000036</v>
      </c>
      <c r="I415" s="77">
        <f t="shared" si="54"/>
        <v>96.48453608247422</v>
      </c>
      <c r="L415" s="192"/>
      <c r="M415" s="192"/>
      <c r="N415" s="192"/>
      <c r="O415" s="192"/>
      <c r="P415" s="192"/>
      <c r="Q415" s="192"/>
    </row>
    <row r="416" spans="1:17" s="27" customFormat="1" ht="25.5">
      <c r="A416" s="46" t="s">
        <v>533</v>
      </c>
      <c r="B416" s="12" t="s">
        <v>72</v>
      </c>
      <c r="C416" s="12" t="s">
        <v>67</v>
      </c>
      <c r="D416" s="13" t="s">
        <v>534</v>
      </c>
      <c r="E416" s="13"/>
      <c r="F416" s="14">
        <f>F417</f>
        <v>2820</v>
      </c>
      <c r="G416" s="14">
        <f>G417</f>
        <v>2811.6</v>
      </c>
      <c r="H416" s="14">
        <f t="shared" si="53"/>
        <v>8.400000000000091</v>
      </c>
      <c r="I416" s="77">
        <f t="shared" si="54"/>
        <v>99.70212765957447</v>
      </c>
      <c r="L416" s="192"/>
      <c r="M416" s="192"/>
      <c r="N416" s="192"/>
      <c r="O416" s="192"/>
      <c r="P416" s="192"/>
      <c r="Q416" s="192"/>
    </row>
    <row r="417" spans="1:17" s="27" customFormat="1" ht="12.75">
      <c r="A417" s="46" t="s">
        <v>137</v>
      </c>
      <c r="B417" s="12" t="s">
        <v>72</v>
      </c>
      <c r="C417" s="12" t="s">
        <v>67</v>
      </c>
      <c r="D417" s="13" t="s">
        <v>534</v>
      </c>
      <c r="E417" s="13" t="s">
        <v>138</v>
      </c>
      <c r="F417" s="14">
        <f>F418</f>
        <v>2820</v>
      </c>
      <c r="G417" s="14">
        <f>G418</f>
        <v>2811.6</v>
      </c>
      <c r="H417" s="14">
        <f t="shared" si="53"/>
        <v>8.400000000000091</v>
      </c>
      <c r="I417" s="77">
        <f t="shared" si="54"/>
        <v>99.70212765957447</v>
      </c>
      <c r="L417" s="192"/>
      <c r="M417" s="192"/>
      <c r="N417" s="192"/>
      <c r="O417" s="192"/>
      <c r="P417" s="192"/>
      <c r="Q417" s="192"/>
    </row>
    <row r="418" spans="1:17" s="27" customFormat="1" ht="25.5">
      <c r="A418" s="46" t="s">
        <v>182</v>
      </c>
      <c r="B418" s="12" t="s">
        <v>72</v>
      </c>
      <c r="C418" s="12" t="s">
        <v>67</v>
      </c>
      <c r="D418" s="13" t="s">
        <v>534</v>
      </c>
      <c r="E418" s="13" t="s">
        <v>139</v>
      </c>
      <c r="F418" s="14">
        <f>'пр. 4 Вед'!G1230</f>
        <v>2820</v>
      </c>
      <c r="G418" s="14">
        <f>'пр. 4 Вед'!H1230</f>
        <v>2811.6</v>
      </c>
      <c r="H418" s="14">
        <f t="shared" si="53"/>
        <v>8.400000000000091</v>
      </c>
      <c r="I418" s="77">
        <f t="shared" si="54"/>
        <v>99.70212765957447</v>
      </c>
      <c r="L418" s="192"/>
      <c r="M418" s="192"/>
      <c r="N418" s="192"/>
      <c r="O418" s="192"/>
      <c r="P418" s="192"/>
      <c r="Q418" s="192"/>
    </row>
    <row r="419" spans="1:17" s="27" customFormat="1" ht="12.75">
      <c r="A419" s="46" t="s">
        <v>383</v>
      </c>
      <c r="B419" s="12" t="s">
        <v>72</v>
      </c>
      <c r="C419" s="12" t="s">
        <v>67</v>
      </c>
      <c r="D419" s="13" t="s">
        <v>535</v>
      </c>
      <c r="E419" s="13"/>
      <c r="F419" s="14">
        <f aca="true" t="shared" si="55" ref="F419:G421">F420</f>
        <v>3000</v>
      </c>
      <c r="G419" s="14">
        <f t="shared" si="55"/>
        <v>2803.8</v>
      </c>
      <c r="H419" s="14">
        <f t="shared" si="53"/>
        <v>196.19999999999982</v>
      </c>
      <c r="I419" s="77">
        <f t="shared" si="54"/>
        <v>93.46000000000001</v>
      </c>
      <c r="L419" s="192"/>
      <c r="M419" s="192"/>
      <c r="N419" s="192"/>
      <c r="O419" s="192"/>
      <c r="P419" s="192"/>
      <c r="Q419" s="192"/>
    </row>
    <row r="420" spans="1:17" s="27" customFormat="1" ht="12.75">
      <c r="A420" s="46" t="s">
        <v>770</v>
      </c>
      <c r="B420" s="12" t="s">
        <v>72</v>
      </c>
      <c r="C420" s="12" t="s">
        <v>67</v>
      </c>
      <c r="D420" s="13" t="s">
        <v>535</v>
      </c>
      <c r="E420" s="13" t="s">
        <v>113</v>
      </c>
      <c r="F420" s="14">
        <f t="shared" si="55"/>
        <v>3000</v>
      </c>
      <c r="G420" s="14">
        <f t="shared" si="55"/>
        <v>2803.8</v>
      </c>
      <c r="H420" s="14">
        <f t="shared" si="53"/>
        <v>196.19999999999982</v>
      </c>
      <c r="I420" s="77">
        <f t="shared" si="54"/>
        <v>93.46000000000001</v>
      </c>
      <c r="L420" s="192"/>
      <c r="M420" s="192"/>
      <c r="N420" s="192"/>
      <c r="O420" s="192"/>
      <c r="P420" s="192"/>
      <c r="Q420" s="192"/>
    </row>
    <row r="421" spans="1:17" s="27" customFormat="1" ht="18" customHeight="1">
      <c r="A421" s="46" t="s">
        <v>106</v>
      </c>
      <c r="B421" s="12" t="s">
        <v>72</v>
      </c>
      <c r="C421" s="12" t="s">
        <v>67</v>
      </c>
      <c r="D421" s="13" t="s">
        <v>535</v>
      </c>
      <c r="E421" s="13" t="s">
        <v>107</v>
      </c>
      <c r="F421" s="14">
        <f t="shared" si="55"/>
        <v>3000</v>
      </c>
      <c r="G421" s="14">
        <f t="shared" si="55"/>
        <v>2803.8</v>
      </c>
      <c r="H421" s="14">
        <f t="shared" si="53"/>
        <v>196.19999999999982</v>
      </c>
      <c r="I421" s="77">
        <f t="shared" si="54"/>
        <v>93.46000000000001</v>
      </c>
      <c r="L421" s="192"/>
      <c r="M421" s="192"/>
      <c r="N421" s="192"/>
      <c r="O421" s="192"/>
      <c r="P421" s="192"/>
      <c r="Q421" s="192"/>
    </row>
    <row r="422" spans="1:17" s="27" customFormat="1" ht="18" customHeight="1">
      <c r="A422" s="46" t="s">
        <v>108</v>
      </c>
      <c r="B422" s="12" t="s">
        <v>72</v>
      </c>
      <c r="C422" s="12" t="s">
        <v>67</v>
      </c>
      <c r="D422" s="13" t="s">
        <v>535</v>
      </c>
      <c r="E422" s="13" t="s">
        <v>109</v>
      </c>
      <c r="F422" s="14">
        <f>'пр. 4 Вед'!G1234</f>
        <v>3000</v>
      </c>
      <c r="G422" s="14">
        <f>'пр. 4 Вед'!H1234</f>
        <v>2803.8</v>
      </c>
      <c r="H422" s="14">
        <f t="shared" si="53"/>
        <v>196.19999999999982</v>
      </c>
      <c r="I422" s="77">
        <f t="shared" si="54"/>
        <v>93.46000000000001</v>
      </c>
      <c r="L422" s="192"/>
      <c r="M422" s="192"/>
      <c r="N422" s="192"/>
      <c r="O422" s="192"/>
      <c r="P422" s="192"/>
      <c r="Q422" s="192"/>
    </row>
    <row r="423" spans="1:17" s="27" customFormat="1" ht="18" customHeight="1">
      <c r="A423" s="9" t="s">
        <v>666</v>
      </c>
      <c r="B423" s="12" t="s">
        <v>72</v>
      </c>
      <c r="C423" s="12" t="s">
        <v>67</v>
      </c>
      <c r="D423" s="13" t="s">
        <v>668</v>
      </c>
      <c r="E423" s="84"/>
      <c r="F423" s="14">
        <f aca="true" t="shared" si="56" ref="F423:G426">F424</f>
        <v>20000</v>
      </c>
      <c r="G423" s="14">
        <f t="shared" si="56"/>
        <v>20000</v>
      </c>
      <c r="H423" s="14">
        <f t="shared" si="53"/>
        <v>0</v>
      </c>
      <c r="I423" s="77">
        <f t="shared" si="54"/>
        <v>100</v>
      </c>
      <c r="L423" s="192"/>
      <c r="M423" s="192"/>
      <c r="N423" s="192"/>
      <c r="O423" s="192"/>
      <c r="P423" s="192"/>
      <c r="Q423" s="192"/>
    </row>
    <row r="424" spans="1:17" s="27" customFormat="1" ht="25.5" customHeight="1">
      <c r="A424" s="9" t="s">
        <v>766</v>
      </c>
      <c r="B424" s="12" t="s">
        <v>72</v>
      </c>
      <c r="C424" s="12" t="s">
        <v>67</v>
      </c>
      <c r="D424" s="13" t="s">
        <v>767</v>
      </c>
      <c r="E424" s="84"/>
      <c r="F424" s="14">
        <f t="shared" si="56"/>
        <v>20000</v>
      </c>
      <c r="G424" s="14">
        <f t="shared" si="56"/>
        <v>20000</v>
      </c>
      <c r="H424" s="14">
        <f t="shared" si="53"/>
        <v>0</v>
      </c>
      <c r="I424" s="77">
        <f t="shared" si="54"/>
        <v>100</v>
      </c>
      <c r="L424" s="192"/>
      <c r="M424" s="192"/>
      <c r="N424" s="192"/>
      <c r="O424" s="192"/>
      <c r="P424" s="192"/>
      <c r="Q424" s="192"/>
    </row>
    <row r="425" spans="1:17" s="27" customFormat="1" ht="26.25" customHeight="1">
      <c r="A425" s="71" t="s">
        <v>768</v>
      </c>
      <c r="B425" s="12" t="s">
        <v>72</v>
      </c>
      <c r="C425" s="12" t="s">
        <v>67</v>
      </c>
      <c r="D425" s="13" t="s">
        <v>769</v>
      </c>
      <c r="E425" s="84"/>
      <c r="F425" s="14">
        <f t="shared" si="56"/>
        <v>20000</v>
      </c>
      <c r="G425" s="14">
        <f t="shared" si="56"/>
        <v>20000</v>
      </c>
      <c r="H425" s="14">
        <f t="shared" si="53"/>
        <v>0</v>
      </c>
      <c r="I425" s="77">
        <f t="shared" si="54"/>
        <v>100</v>
      </c>
      <c r="L425" s="192"/>
      <c r="M425" s="192"/>
      <c r="N425" s="192"/>
      <c r="O425" s="192"/>
      <c r="P425" s="192"/>
      <c r="Q425" s="192"/>
    </row>
    <row r="426" spans="1:17" s="27" customFormat="1" ht="18" customHeight="1">
      <c r="A426" s="71" t="s">
        <v>137</v>
      </c>
      <c r="B426" s="12" t="s">
        <v>72</v>
      </c>
      <c r="C426" s="12" t="s">
        <v>67</v>
      </c>
      <c r="D426" s="13" t="s">
        <v>769</v>
      </c>
      <c r="E426" s="84" t="s">
        <v>138</v>
      </c>
      <c r="F426" s="14">
        <f t="shared" si="56"/>
        <v>20000</v>
      </c>
      <c r="G426" s="14">
        <f t="shared" si="56"/>
        <v>20000</v>
      </c>
      <c r="H426" s="14">
        <f t="shared" si="53"/>
        <v>0</v>
      </c>
      <c r="I426" s="77">
        <f t="shared" si="54"/>
        <v>100</v>
      </c>
      <c r="L426" s="192"/>
      <c r="M426" s="192"/>
      <c r="N426" s="192"/>
      <c r="O426" s="192"/>
      <c r="P426" s="192"/>
      <c r="Q426" s="192"/>
    </row>
    <row r="427" spans="1:17" s="27" customFormat="1" ht="29.25" customHeight="1">
      <c r="A427" s="71" t="s">
        <v>182</v>
      </c>
      <c r="B427" s="12" t="s">
        <v>72</v>
      </c>
      <c r="C427" s="12" t="s">
        <v>67</v>
      </c>
      <c r="D427" s="13" t="s">
        <v>769</v>
      </c>
      <c r="E427" s="84" t="s">
        <v>139</v>
      </c>
      <c r="F427" s="14">
        <f>'пр. 4 Вед'!G255</f>
        <v>20000</v>
      </c>
      <c r="G427" s="14">
        <f>'пр. 4 Вед'!H255</f>
        <v>20000</v>
      </c>
      <c r="H427" s="14">
        <f t="shared" si="53"/>
        <v>0</v>
      </c>
      <c r="I427" s="77">
        <f t="shared" si="54"/>
        <v>100</v>
      </c>
      <c r="L427" s="192"/>
      <c r="M427" s="192"/>
      <c r="N427" s="192"/>
      <c r="O427" s="192"/>
      <c r="P427" s="192"/>
      <c r="Q427" s="192"/>
    </row>
    <row r="428" spans="1:17" s="27" customFormat="1" ht="12.75">
      <c r="A428" s="60" t="s">
        <v>246</v>
      </c>
      <c r="B428" s="37" t="s">
        <v>72</v>
      </c>
      <c r="C428" s="37" t="s">
        <v>70</v>
      </c>
      <c r="D428" s="29"/>
      <c r="E428" s="29"/>
      <c r="F428" s="30">
        <f>F429+F455</f>
        <v>8493.2</v>
      </c>
      <c r="G428" s="30">
        <f>G429+G455</f>
        <v>8282.4</v>
      </c>
      <c r="H428" s="30">
        <f t="shared" si="53"/>
        <v>210.8000000000011</v>
      </c>
      <c r="I428" s="82">
        <f t="shared" si="54"/>
        <v>97.51801441152921</v>
      </c>
      <c r="L428" s="192"/>
      <c r="M428" s="192"/>
      <c r="N428" s="192"/>
      <c r="O428" s="192"/>
      <c r="P428" s="192"/>
      <c r="Q428" s="192"/>
    </row>
    <row r="429" spans="1:17" s="27" customFormat="1" ht="15.75" customHeight="1">
      <c r="A429" s="46" t="s">
        <v>371</v>
      </c>
      <c r="B429" s="12" t="s">
        <v>72</v>
      </c>
      <c r="C429" s="12" t="s">
        <v>70</v>
      </c>
      <c r="D429" s="31" t="s">
        <v>645</v>
      </c>
      <c r="E429" s="13"/>
      <c r="F429" s="14">
        <f>F430</f>
        <v>8133.2</v>
      </c>
      <c r="G429" s="14">
        <f>G430</f>
        <v>8072.8</v>
      </c>
      <c r="H429" s="14">
        <f t="shared" si="53"/>
        <v>60.399999999999636</v>
      </c>
      <c r="I429" s="77">
        <f t="shared" si="54"/>
        <v>99.25736487483402</v>
      </c>
      <c r="L429" s="192"/>
      <c r="M429" s="192"/>
      <c r="N429" s="192"/>
      <c r="O429" s="192"/>
      <c r="P429" s="192"/>
      <c r="Q429" s="192"/>
    </row>
    <row r="430" spans="1:17" s="27" customFormat="1" ht="12.75">
      <c r="A430" s="46" t="s">
        <v>372</v>
      </c>
      <c r="B430" s="12" t="s">
        <v>72</v>
      </c>
      <c r="C430" s="12" t="s">
        <v>70</v>
      </c>
      <c r="D430" s="31" t="s">
        <v>646</v>
      </c>
      <c r="E430" s="13"/>
      <c r="F430" s="14">
        <f>F431+F443+F435+F447+F451+F439</f>
        <v>8133.2</v>
      </c>
      <c r="G430" s="14">
        <f>G431+G443+G435+G447+G451+G439</f>
        <v>8072.8</v>
      </c>
      <c r="H430" s="14">
        <f t="shared" si="53"/>
        <v>60.399999999999636</v>
      </c>
      <c r="I430" s="77">
        <f t="shared" si="54"/>
        <v>99.25736487483402</v>
      </c>
      <c r="L430" s="192"/>
      <c r="M430" s="192"/>
      <c r="N430" s="192"/>
      <c r="O430" s="192"/>
      <c r="P430" s="192"/>
      <c r="Q430" s="192"/>
    </row>
    <row r="431" spans="1:17" s="27" customFormat="1" ht="12.75">
      <c r="A431" s="9" t="s">
        <v>651</v>
      </c>
      <c r="B431" s="12" t="s">
        <v>72</v>
      </c>
      <c r="C431" s="12" t="s">
        <v>70</v>
      </c>
      <c r="D431" s="31" t="s">
        <v>647</v>
      </c>
      <c r="E431" s="13"/>
      <c r="F431" s="14">
        <f aca="true" t="shared" si="57" ref="F431:G433">F432</f>
        <v>2522</v>
      </c>
      <c r="G431" s="14">
        <f t="shared" si="57"/>
        <v>2461.7</v>
      </c>
      <c r="H431" s="14">
        <f t="shared" si="53"/>
        <v>60.30000000000018</v>
      </c>
      <c r="I431" s="77">
        <f t="shared" si="54"/>
        <v>97.60904044409199</v>
      </c>
      <c r="L431" s="192"/>
      <c r="M431" s="192"/>
      <c r="N431" s="192"/>
      <c r="O431" s="192"/>
      <c r="P431" s="192"/>
      <c r="Q431" s="192"/>
    </row>
    <row r="432" spans="1:17" s="27" customFormat="1" ht="12.75">
      <c r="A432" s="46" t="s">
        <v>770</v>
      </c>
      <c r="B432" s="34" t="s">
        <v>72</v>
      </c>
      <c r="C432" s="34" t="s">
        <v>70</v>
      </c>
      <c r="D432" s="31" t="s">
        <v>647</v>
      </c>
      <c r="E432" s="13" t="s">
        <v>113</v>
      </c>
      <c r="F432" s="14">
        <f t="shared" si="57"/>
        <v>2522</v>
      </c>
      <c r="G432" s="14">
        <f t="shared" si="57"/>
        <v>2461.7</v>
      </c>
      <c r="H432" s="14">
        <f t="shared" si="53"/>
        <v>60.30000000000018</v>
      </c>
      <c r="I432" s="77">
        <f t="shared" si="54"/>
        <v>97.60904044409199</v>
      </c>
      <c r="L432" s="192"/>
      <c r="M432" s="192"/>
      <c r="N432" s="192"/>
      <c r="O432" s="192"/>
      <c r="P432" s="192"/>
      <c r="Q432" s="192"/>
    </row>
    <row r="433" spans="1:17" s="27" customFormat="1" ht="18" customHeight="1">
      <c r="A433" s="9" t="s">
        <v>106</v>
      </c>
      <c r="B433" s="34" t="s">
        <v>72</v>
      </c>
      <c r="C433" s="34" t="s">
        <v>70</v>
      </c>
      <c r="D433" s="31" t="s">
        <v>647</v>
      </c>
      <c r="E433" s="13" t="s">
        <v>107</v>
      </c>
      <c r="F433" s="14">
        <f t="shared" si="57"/>
        <v>2522</v>
      </c>
      <c r="G433" s="14">
        <f t="shared" si="57"/>
        <v>2461.7</v>
      </c>
      <c r="H433" s="14">
        <f t="shared" si="53"/>
        <v>60.30000000000018</v>
      </c>
      <c r="I433" s="77">
        <f t="shared" si="54"/>
        <v>97.60904044409199</v>
      </c>
      <c r="L433" s="192"/>
      <c r="M433" s="192"/>
      <c r="N433" s="192"/>
      <c r="O433" s="192"/>
      <c r="P433" s="192"/>
      <c r="Q433" s="192"/>
    </row>
    <row r="434" spans="1:17" s="27" customFormat="1" ht="18" customHeight="1">
      <c r="A434" s="9" t="s">
        <v>108</v>
      </c>
      <c r="B434" s="34" t="s">
        <v>72</v>
      </c>
      <c r="C434" s="34" t="s">
        <v>70</v>
      </c>
      <c r="D434" s="31" t="s">
        <v>647</v>
      </c>
      <c r="E434" s="13" t="s">
        <v>109</v>
      </c>
      <c r="F434" s="14">
        <f>'пр. 4 Вед'!G1245</f>
        <v>2522</v>
      </c>
      <c r="G434" s="14">
        <f>'пр. 4 Вед'!H1245</f>
        <v>2461.7</v>
      </c>
      <c r="H434" s="14">
        <f t="shared" si="53"/>
        <v>60.30000000000018</v>
      </c>
      <c r="I434" s="77">
        <f t="shared" si="54"/>
        <v>97.60904044409199</v>
      </c>
      <c r="L434" s="192"/>
      <c r="M434" s="192"/>
      <c r="N434" s="192"/>
      <c r="O434" s="192"/>
      <c r="P434" s="192"/>
      <c r="Q434" s="192"/>
    </row>
    <row r="435" spans="1:17" s="27" customFormat="1" ht="27.75" customHeight="1">
      <c r="A435" s="9" t="str">
        <f>'пр. 4 Вед'!A1246</f>
        <v>Ремонт и обслуживание линий электропередач уличного освещения города Сусумана за счет средств областного бюджета</v>
      </c>
      <c r="B435" s="12" t="s">
        <v>72</v>
      </c>
      <c r="C435" s="12" t="s">
        <v>70</v>
      </c>
      <c r="D435" s="45" t="s">
        <v>650</v>
      </c>
      <c r="E435" s="13"/>
      <c r="F435" s="14">
        <f aca="true" t="shared" si="58" ref="F435:G437">F436</f>
        <v>1000</v>
      </c>
      <c r="G435" s="14">
        <f t="shared" si="58"/>
        <v>1000</v>
      </c>
      <c r="H435" s="14">
        <f t="shared" si="53"/>
        <v>0</v>
      </c>
      <c r="I435" s="77">
        <f t="shared" si="54"/>
        <v>100</v>
      </c>
      <c r="L435" s="192"/>
      <c r="M435" s="192"/>
      <c r="N435" s="192"/>
      <c r="O435" s="192"/>
      <c r="P435" s="192"/>
      <c r="Q435" s="192"/>
    </row>
    <row r="436" spans="1:17" s="27" customFormat="1" ht="12.75">
      <c r="A436" s="46" t="s">
        <v>770</v>
      </c>
      <c r="B436" s="12" t="s">
        <v>72</v>
      </c>
      <c r="C436" s="12" t="s">
        <v>70</v>
      </c>
      <c r="D436" s="45" t="s">
        <v>650</v>
      </c>
      <c r="E436" s="13" t="s">
        <v>113</v>
      </c>
      <c r="F436" s="14">
        <f t="shared" si="58"/>
        <v>1000</v>
      </c>
      <c r="G436" s="14">
        <f t="shared" si="58"/>
        <v>1000</v>
      </c>
      <c r="H436" s="14">
        <f t="shared" si="53"/>
        <v>0</v>
      </c>
      <c r="I436" s="77">
        <f t="shared" si="54"/>
        <v>100</v>
      </c>
      <c r="L436" s="192"/>
      <c r="M436" s="192"/>
      <c r="N436" s="192"/>
      <c r="O436" s="192"/>
      <c r="P436" s="192"/>
      <c r="Q436" s="192"/>
    </row>
    <row r="437" spans="1:17" s="27" customFormat="1" ht="15" customHeight="1">
      <c r="A437" s="9" t="s">
        <v>106</v>
      </c>
      <c r="B437" s="12" t="s">
        <v>72</v>
      </c>
      <c r="C437" s="12" t="s">
        <v>70</v>
      </c>
      <c r="D437" s="45" t="s">
        <v>650</v>
      </c>
      <c r="E437" s="13" t="s">
        <v>107</v>
      </c>
      <c r="F437" s="14">
        <f t="shared" si="58"/>
        <v>1000</v>
      </c>
      <c r="G437" s="14">
        <f t="shared" si="58"/>
        <v>1000</v>
      </c>
      <c r="H437" s="14">
        <f t="shared" si="53"/>
        <v>0</v>
      </c>
      <c r="I437" s="77">
        <f t="shared" si="54"/>
        <v>100</v>
      </c>
      <c r="L437" s="192"/>
      <c r="M437" s="192"/>
      <c r="N437" s="192"/>
      <c r="O437" s="192"/>
      <c r="P437" s="192"/>
      <c r="Q437" s="192"/>
    </row>
    <row r="438" spans="1:17" s="27" customFormat="1" ht="27.75" customHeight="1">
      <c r="A438" s="9" t="s">
        <v>108</v>
      </c>
      <c r="B438" s="12" t="s">
        <v>72</v>
      </c>
      <c r="C438" s="12" t="s">
        <v>70</v>
      </c>
      <c r="D438" s="45" t="s">
        <v>650</v>
      </c>
      <c r="E438" s="13" t="s">
        <v>109</v>
      </c>
      <c r="F438" s="14">
        <f>'пр. 4 Вед'!G1249</f>
        <v>1000</v>
      </c>
      <c r="G438" s="14">
        <f>'пр. 4 Вед'!H1249</f>
        <v>1000</v>
      </c>
      <c r="H438" s="14">
        <f t="shared" si="53"/>
        <v>0</v>
      </c>
      <c r="I438" s="77">
        <f t="shared" si="54"/>
        <v>100</v>
      </c>
      <c r="L438" s="192"/>
      <c r="M438" s="192"/>
      <c r="N438" s="192"/>
      <c r="O438" s="192"/>
      <c r="P438" s="192"/>
      <c r="Q438" s="192"/>
    </row>
    <row r="439" spans="1:17" s="27" customFormat="1" ht="27.75" customHeight="1">
      <c r="A439" s="9" t="s">
        <v>757</v>
      </c>
      <c r="B439" s="12" t="s">
        <v>72</v>
      </c>
      <c r="C439" s="12" t="s">
        <v>70</v>
      </c>
      <c r="D439" s="45" t="s">
        <v>758</v>
      </c>
      <c r="E439" s="13"/>
      <c r="F439" s="14">
        <f aca="true" t="shared" si="59" ref="F439:G441">F440</f>
        <v>71.6</v>
      </c>
      <c r="G439" s="14">
        <f t="shared" si="59"/>
        <v>71.6</v>
      </c>
      <c r="H439" s="14">
        <f t="shared" si="53"/>
        <v>0</v>
      </c>
      <c r="I439" s="77">
        <f t="shared" si="54"/>
        <v>100</v>
      </c>
      <c r="L439" s="192"/>
      <c r="M439" s="192"/>
      <c r="N439" s="192"/>
      <c r="O439" s="192"/>
      <c r="P439" s="192"/>
      <c r="Q439" s="192"/>
    </row>
    <row r="440" spans="1:17" s="27" customFormat="1" ht="18.75" customHeight="1">
      <c r="A440" s="46" t="s">
        <v>770</v>
      </c>
      <c r="B440" s="12" t="s">
        <v>72</v>
      </c>
      <c r="C440" s="12" t="s">
        <v>70</v>
      </c>
      <c r="D440" s="45" t="s">
        <v>758</v>
      </c>
      <c r="E440" s="13" t="s">
        <v>113</v>
      </c>
      <c r="F440" s="14">
        <f t="shared" si="59"/>
        <v>71.6</v>
      </c>
      <c r="G440" s="14">
        <f t="shared" si="59"/>
        <v>71.6</v>
      </c>
      <c r="H440" s="14">
        <f t="shared" si="53"/>
        <v>0</v>
      </c>
      <c r="I440" s="77">
        <f t="shared" si="54"/>
        <v>100</v>
      </c>
      <c r="L440" s="192"/>
      <c r="M440" s="192"/>
      <c r="N440" s="192"/>
      <c r="O440" s="192"/>
      <c r="P440" s="192"/>
      <c r="Q440" s="192"/>
    </row>
    <row r="441" spans="1:17" s="27" customFormat="1" ht="18" customHeight="1">
      <c r="A441" s="9" t="s">
        <v>106</v>
      </c>
      <c r="B441" s="12" t="s">
        <v>72</v>
      </c>
      <c r="C441" s="12" t="s">
        <v>70</v>
      </c>
      <c r="D441" s="45" t="s">
        <v>758</v>
      </c>
      <c r="E441" s="13" t="s">
        <v>107</v>
      </c>
      <c r="F441" s="14">
        <f t="shared" si="59"/>
        <v>71.6</v>
      </c>
      <c r="G441" s="14">
        <f t="shared" si="59"/>
        <v>71.6</v>
      </c>
      <c r="H441" s="14">
        <f t="shared" si="53"/>
        <v>0</v>
      </c>
      <c r="I441" s="77">
        <f t="shared" si="54"/>
        <v>100</v>
      </c>
      <c r="L441" s="192"/>
      <c r="M441" s="192"/>
      <c r="N441" s="192"/>
      <c r="O441" s="192"/>
      <c r="P441" s="192"/>
      <c r="Q441" s="192"/>
    </row>
    <row r="442" spans="1:17" s="27" customFormat="1" ht="16.5" customHeight="1">
      <c r="A442" s="9" t="s">
        <v>108</v>
      </c>
      <c r="B442" s="12" t="s">
        <v>72</v>
      </c>
      <c r="C442" s="12" t="s">
        <v>70</v>
      </c>
      <c r="D442" s="45" t="s">
        <v>758</v>
      </c>
      <c r="E442" s="13" t="s">
        <v>109</v>
      </c>
      <c r="F442" s="14">
        <f>'пр. 4 Вед'!G1253</f>
        <v>71.6</v>
      </c>
      <c r="G442" s="14">
        <f>'пр. 4 Вед'!H1253</f>
        <v>71.6</v>
      </c>
      <c r="H442" s="14">
        <f t="shared" si="53"/>
        <v>0</v>
      </c>
      <c r="I442" s="77">
        <f t="shared" si="54"/>
        <v>100</v>
      </c>
      <c r="L442" s="192"/>
      <c r="M442" s="192"/>
      <c r="N442" s="192"/>
      <c r="O442" s="192"/>
      <c r="P442" s="192"/>
      <c r="Q442" s="192"/>
    </row>
    <row r="443" spans="1:17" s="27" customFormat="1" ht="12.75">
      <c r="A443" s="9" t="s">
        <v>649</v>
      </c>
      <c r="B443" s="12" t="s">
        <v>72</v>
      </c>
      <c r="C443" s="12" t="s">
        <v>70</v>
      </c>
      <c r="D443" s="31" t="s">
        <v>648</v>
      </c>
      <c r="E443" s="13"/>
      <c r="F443" s="14">
        <f aca="true" t="shared" si="60" ref="F443:G445">F444</f>
        <v>61.30000000000001</v>
      </c>
      <c r="G443" s="14">
        <f t="shared" si="60"/>
        <v>61.2</v>
      </c>
      <c r="H443" s="14">
        <f t="shared" si="53"/>
        <v>0.10000000000000853</v>
      </c>
      <c r="I443" s="77">
        <f t="shared" si="54"/>
        <v>99.83686786296899</v>
      </c>
      <c r="L443" s="192"/>
      <c r="M443" s="192"/>
      <c r="N443" s="192"/>
      <c r="O443" s="192"/>
      <c r="P443" s="192"/>
      <c r="Q443" s="192"/>
    </row>
    <row r="444" spans="1:17" s="27" customFormat="1" ht="12.75">
      <c r="A444" s="46" t="s">
        <v>770</v>
      </c>
      <c r="B444" s="34" t="s">
        <v>72</v>
      </c>
      <c r="C444" s="34" t="s">
        <v>70</v>
      </c>
      <c r="D444" s="31" t="s">
        <v>648</v>
      </c>
      <c r="E444" s="13" t="s">
        <v>113</v>
      </c>
      <c r="F444" s="14">
        <f t="shared" si="60"/>
        <v>61.30000000000001</v>
      </c>
      <c r="G444" s="14">
        <f t="shared" si="60"/>
        <v>61.2</v>
      </c>
      <c r="H444" s="14">
        <f t="shared" si="53"/>
        <v>0.10000000000000853</v>
      </c>
      <c r="I444" s="77">
        <f t="shared" si="54"/>
        <v>99.83686786296899</v>
      </c>
      <c r="L444" s="192"/>
      <c r="M444" s="192"/>
      <c r="N444" s="192"/>
      <c r="O444" s="192"/>
      <c r="P444" s="192"/>
      <c r="Q444" s="192"/>
    </row>
    <row r="445" spans="1:17" s="27" customFormat="1" ht="15.75" customHeight="1">
      <c r="A445" s="9" t="s">
        <v>106</v>
      </c>
      <c r="B445" s="34" t="s">
        <v>72</v>
      </c>
      <c r="C445" s="34" t="s">
        <v>70</v>
      </c>
      <c r="D445" s="31" t="s">
        <v>648</v>
      </c>
      <c r="E445" s="13" t="s">
        <v>107</v>
      </c>
      <c r="F445" s="14">
        <f t="shared" si="60"/>
        <v>61.30000000000001</v>
      </c>
      <c r="G445" s="14">
        <f t="shared" si="60"/>
        <v>61.2</v>
      </c>
      <c r="H445" s="14">
        <f t="shared" si="53"/>
        <v>0.10000000000000853</v>
      </c>
      <c r="I445" s="77">
        <f t="shared" si="54"/>
        <v>99.83686786296899</v>
      </c>
      <c r="L445" s="192"/>
      <c r="M445" s="192"/>
      <c r="N445" s="192"/>
      <c r="O445" s="192"/>
      <c r="P445" s="192"/>
      <c r="Q445" s="192"/>
    </row>
    <row r="446" spans="1:17" s="27" customFormat="1" ht="15" customHeight="1">
      <c r="A446" s="9" t="s">
        <v>108</v>
      </c>
      <c r="B446" s="34" t="s">
        <v>72</v>
      </c>
      <c r="C446" s="34" t="s">
        <v>70</v>
      </c>
      <c r="D446" s="31" t="s">
        <v>648</v>
      </c>
      <c r="E446" s="13" t="s">
        <v>109</v>
      </c>
      <c r="F446" s="14">
        <f>'пр. 4 Вед'!G1257</f>
        <v>61.30000000000001</v>
      </c>
      <c r="G446" s="14">
        <f>'пр. 4 Вед'!H1257</f>
        <v>61.2</v>
      </c>
      <c r="H446" s="14">
        <f t="shared" si="53"/>
        <v>0.10000000000000853</v>
      </c>
      <c r="I446" s="77">
        <f t="shared" si="54"/>
        <v>99.83686786296899</v>
      </c>
      <c r="L446" s="192"/>
      <c r="M446" s="192"/>
      <c r="N446" s="192"/>
      <c r="O446" s="192"/>
      <c r="P446" s="192"/>
      <c r="Q446" s="192"/>
    </row>
    <row r="447" spans="1:17" s="27" customFormat="1" ht="26.25" customHeight="1">
      <c r="A447" s="9" t="s">
        <v>692</v>
      </c>
      <c r="B447" s="12" t="s">
        <v>72</v>
      </c>
      <c r="C447" s="12" t="s">
        <v>70</v>
      </c>
      <c r="D447" s="45" t="s">
        <v>693</v>
      </c>
      <c r="E447" s="13"/>
      <c r="F447" s="14">
        <f aca="true" t="shared" si="61" ref="F447:G449">F448</f>
        <v>4378.299999999999</v>
      </c>
      <c r="G447" s="14">
        <f t="shared" si="61"/>
        <v>4378.3</v>
      </c>
      <c r="H447" s="14">
        <f t="shared" si="53"/>
        <v>0</v>
      </c>
      <c r="I447" s="77">
        <f t="shared" si="54"/>
        <v>100.00000000000003</v>
      </c>
      <c r="L447" s="192"/>
      <c r="M447" s="192"/>
      <c r="N447" s="192"/>
      <c r="O447" s="192"/>
      <c r="P447" s="192"/>
      <c r="Q447" s="192"/>
    </row>
    <row r="448" spans="1:17" s="27" customFormat="1" ht="15" customHeight="1">
      <c r="A448" s="46" t="s">
        <v>770</v>
      </c>
      <c r="B448" s="12" t="s">
        <v>72</v>
      </c>
      <c r="C448" s="12" t="s">
        <v>70</v>
      </c>
      <c r="D448" s="45" t="s">
        <v>693</v>
      </c>
      <c r="E448" s="13" t="s">
        <v>113</v>
      </c>
      <c r="F448" s="14">
        <f t="shared" si="61"/>
        <v>4378.299999999999</v>
      </c>
      <c r="G448" s="14">
        <f t="shared" si="61"/>
        <v>4378.3</v>
      </c>
      <c r="H448" s="14">
        <f t="shared" si="53"/>
        <v>0</v>
      </c>
      <c r="I448" s="77">
        <f t="shared" si="54"/>
        <v>100.00000000000003</v>
      </c>
      <c r="L448" s="192"/>
      <c r="M448" s="192"/>
      <c r="N448" s="192"/>
      <c r="O448" s="192"/>
      <c r="P448" s="192"/>
      <c r="Q448" s="192"/>
    </row>
    <row r="449" spans="1:17" s="27" customFormat="1" ht="25.5" customHeight="1">
      <c r="A449" s="9" t="s">
        <v>106</v>
      </c>
      <c r="B449" s="12" t="s">
        <v>72</v>
      </c>
      <c r="C449" s="12" t="s">
        <v>70</v>
      </c>
      <c r="D449" s="45" t="s">
        <v>693</v>
      </c>
      <c r="E449" s="13" t="s">
        <v>107</v>
      </c>
      <c r="F449" s="14">
        <f t="shared" si="61"/>
        <v>4378.299999999999</v>
      </c>
      <c r="G449" s="14">
        <f t="shared" si="61"/>
        <v>4378.3</v>
      </c>
      <c r="H449" s="14">
        <f t="shared" si="53"/>
        <v>0</v>
      </c>
      <c r="I449" s="77">
        <f t="shared" si="54"/>
        <v>100.00000000000003</v>
      </c>
      <c r="L449" s="192"/>
      <c r="M449" s="192"/>
      <c r="N449" s="192"/>
      <c r="O449" s="192"/>
      <c r="P449" s="192"/>
      <c r="Q449" s="192"/>
    </row>
    <row r="450" spans="1:17" s="27" customFormat="1" ht="25.5" customHeight="1">
      <c r="A450" s="9" t="s">
        <v>108</v>
      </c>
      <c r="B450" s="12" t="s">
        <v>72</v>
      </c>
      <c r="C450" s="12" t="s">
        <v>70</v>
      </c>
      <c r="D450" s="45" t="s">
        <v>693</v>
      </c>
      <c r="E450" s="13" t="s">
        <v>109</v>
      </c>
      <c r="F450" s="14">
        <f>'пр. 4 Вед'!G1261</f>
        <v>4378.299999999999</v>
      </c>
      <c r="G450" s="14">
        <f>'пр. 4 Вед'!H1261</f>
        <v>4378.3</v>
      </c>
      <c r="H450" s="14">
        <f t="shared" si="53"/>
        <v>0</v>
      </c>
      <c r="I450" s="77">
        <f t="shared" si="54"/>
        <v>100.00000000000003</v>
      </c>
      <c r="L450" s="192"/>
      <c r="M450" s="192"/>
      <c r="N450" s="192"/>
      <c r="O450" s="192"/>
      <c r="P450" s="192"/>
      <c r="Q450" s="192"/>
    </row>
    <row r="451" spans="1:17" s="27" customFormat="1" ht="25.5" customHeight="1">
      <c r="A451" s="9" t="s">
        <v>694</v>
      </c>
      <c r="B451" s="12" t="s">
        <v>72</v>
      </c>
      <c r="C451" s="12" t="s">
        <v>70</v>
      </c>
      <c r="D451" s="45" t="s">
        <v>695</v>
      </c>
      <c r="E451" s="13"/>
      <c r="F451" s="14">
        <f aca="true" t="shared" si="62" ref="F451:G453">F452</f>
        <v>100</v>
      </c>
      <c r="G451" s="14">
        <f t="shared" si="62"/>
        <v>100</v>
      </c>
      <c r="H451" s="14">
        <f t="shared" si="53"/>
        <v>0</v>
      </c>
      <c r="I451" s="77">
        <f t="shared" si="54"/>
        <v>100</v>
      </c>
      <c r="L451" s="192"/>
      <c r="M451" s="192"/>
      <c r="N451" s="192"/>
      <c r="O451" s="192"/>
      <c r="P451" s="192"/>
      <c r="Q451" s="192"/>
    </row>
    <row r="452" spans="1:17" s="27" customFormat="1" ht="15" customHeight="1">
      <c r="A452" s="46" t="s">
        <v>770</v>
      </c>
      <c r="B452" s="12" t="s">
        <v>72</v>
      </c>
      <c r="C452" s="12" t="s">
        <v>70</v>
      </c>
      <c r="D452" s="45" t="s">
        <v>695</v>
      </c>
      <c r="E452" s="13" t="s">
        <v>113</v>
      </c>
      <c r="F452" s="14">
        <f t="shared" si="62"/>
        <v>100</v>
      </c>
      <c r="G452" s="14">
        <f t="shared" si="62"/>
        <v>100</v>
      </c>
      <c r="H452" s="14">
        <f t="shared" si="53"/>
        <v>0</v>
      </c>
      <c r="I452" s="77">
        <f t="shared" si="54"/>
        <v>100</v>
      </c>
      <c r="L452" s="192"/>
      <c r="M452" s="192"/>
      <c r="N452" s="192"/>
      <c r="O452" s="192"/>
      <c r="P452" s="192"/>
      <c r="Q452" s="192"/>
    </row>
    <row r="453" spans="1:17" s="27" customFormat="1" ht="15" customHeight="1">
      <c r="A453" s="9" t="s">
        <v>106</v>
      </c>
      <c r="B453" s="12" t="s">
        <v>72</v>
      </c>
      <c r="C453" s="12" t="s">
        <v>70</v>
      </c>
      <c r="D453" s="45" t="s">
        <v>695</v>
      </c>
      <c r="E453" s="13" t="s">
        <v>107</v>
      </c>
      <c r="F453" s="14">
        <f t="shared" si="62"/>
        <v>100</v>
      </c>
      <c r="G453" s="14">
        <f t="shared" si="62"/>
        <v>100</v>
      </c>
      <c r="H453" s="14">
        <f t="shared" si="53"/>
        <v>0</v>
      </c>
      <c r="I453" s="77">
        <f t="shared" si="54"/>
        <v>100</v>
      </c>
      <c r="L453" s="192"/>
      <c r="M453" s="192"/>
      <c r="N453" s="192"/>
      <c r="O453" s="192"/>
      <c r="P453" s="192"/>
      <c r="Q453" s="192"/>
    </row>
    <row r="454" spans="1:17" s="27" customFormat="1" ht="15" customHeight="1">
      <c r="A454" s="9" t="s">
        <v>108</v>
      </c>
      <c r="B454" s="12" t="s">
        <v>72</v>
      </c>
      <c r="C454" s="12" t="s">
        <v>70</v>
      </c>
      <c r="D454" s="45" t="s">
        <v>695</v>
      </c>
      <c r="E454" s="13" t="s">
        <v>109</v>
      </c>
      <c r="F454" s="14">
        <f>'пр. 4 Вед'!G1265</f>
        <v>100</v>
      </c>
      <c r="G454" s="14">
        <f>'пр. 4 Вед'!H1265</f>
        <v>100</v>
      </c>
      <c r="H454" s="14">
        <f t="shared" si="53"/>
        <v>0</v>
      </c>
      <c r="I454" s="77">
        <f t="shared" si="54"/>
        <v>100</v>
      </c>
      <c r="L454" s="192"/>
      <c r="M454" s="192"/>
      <c r="N454" s="192"/>
      <c r="O454" s="192"/>
      <c r="P454" s="192"/>
      <c r="Q454" s="192"/>
    </row>
    <row r="455" spans="1:17" s="27" customFormat="1" ht="12.75">
      <c r="A455" s="9" t="s">
        <v>649</v>
      </c>
      <c r="B455" s="12" t="s">
        <v>72</v>
      </c>
      <c r="C455" s="12" t="s">
        <v>70</v>
      </c>
      <c r="D455" s="13" t="s">
        <v>619</v>
      </c>
      <c r="E455" s="32"/>
      <c r="F455" s="14">
        <f aca="true" t="shared" si="63" ref="F455:G457">F456</f>
        <v>360</v>
      </c>
      <c r="G455" s="14">
        <f t="shared" si="63"/>
        <v>209.6</v>
      </c>
      <c r="H455" s="14">
        <f t="shared" si="53"/>
        <v>150.4</v>
      </c>
      <c r="I455" s="77">
        <f t="shared" si="54"/>
        <v>58.22222222222222</v>
      </c>
      <c r="L455" s="192"/>
      <c r="M455" s="192"/>
      <c r="N455" s="192"/>
      <c r="O455" s="192"/>
      <c r="P455" s="192"/>
      <c r="Q455" s="192"/>
    </row>
    <row r="456" spans="1:17" s="27" customFormat="1" ht="12.75">
      <c r="A456" s="67" t="str">
        <f>'пр. 4 Вед'!A1267</f>
        <v>Субсидии на возмещение убытков от предоставления ритуальных услуг</v>
      </c>
      <c r="B456" s="12" t="s">
        <v>72</v>
      </c>
      <c r="C456" s="12" t="s">
        <v>70</v>
      </c>
      <c r="D456" s="13" t="s">
        <v>726</v>
      </c>
      <c r="E456" s="32"/>
      <c r="F456" s="14">
        <f t="shared" si="63"/>
        <v>360</v>
      </c>
      <c r="G456" s="14">
        <f t="shared" si="63"/>
        <v>209.6</v>
      </c>
      <c r="H456" s="14">
        <f t="shared" si="53"/>
        <v>150.4</v>
      </c>
      <c r="I456" s="77">
        <f t="shared" si="54"/>
        <v>58.22222222222222</v>
      </c>
      <c r="L456" s="192"/>
      <c r="M456" s="192"/>
      <c r="N456" s="192"/>
      <c r="O456" s="192"/>
      <c r="P456" s="192"/>
      <c r="Q456" s="192"/>
    </row>
    <row r="457" spans="1:17" s="27" customFormat="1" ht="12.75">
      <c r="A457" s="9" t="s">
        <v>137</v>
      </c>
      <c r="B457" s="12" t="s">
        <v>72</v>
      </c>
      <c r="C457" s="12" t="s">
        <v>70</v>
      </c>
      <c r="D457" s="13" t="s">
        <v>726</v>
      </c>
      <c r="E457" s="13" t="s">
        <v>138</v>
      </c>
      <c r="F457" s="14">
        <f t="shared" si="63"/>
        <v>360</v>
      </c>
      <c r="G457" s="14">
        <f t="shared" si="63"/>
        <v>209.6</v>
      </c>
      <c r="H457" s="14">
        <f aca="true" t="shared" si="64" ref="H457:H520">F457-G457</f>
        <v>150.4</v>
      </c>
      <c r="I457" s="77">
        <f aca="true" t="shared" si="65" ref="I457:I520">G457/F457*100</f>
        <v>58.22222222222222</v>
      </c>
      <c r="L457" s="192"/>
      <c r="M457" s="192"/>
      <c r="N457" s="192"/>
      <c r="O457" s="192"/>
      <c r="P457" s="192"/>
      <c r="Q457" s="192"/>
    </row>
    <row r="458" spans="1:17" s="27" customFormat="1" ht="25.5">
      <c r="A458" s="9" t="s">
        <v>182</v>
      </c>
      <c r="B458" s="12" t="s">
        <v>72</v>
      </c>
      <c r="C458" s="12" t="s">
        <v>70</v>
      </c>
      <c r="D458" s="13" t="s">
        <v>726</v>
      </c>
      <c r="E458" s="13" t="s">
        <v>139</v>
      </c>
      <c r="F458" s="14">
        <f>'пр. 4 Вед'!G1269</f>
        <v>360</v>
      </c>
      <c r="G458" s="14">
        <f>'пр. 4 Вед'!H1269</f>
        <v>209.6</v>
      </c>
      <c r="H458" s="14">
        <f t="shared" si="64"/>
        <v>150.4</v>
      </c>
      <c r="I458" s="77">
        <f t="shared" si="65"/>
        <v>58.22222222222222</v>
      </c>
      <c r="L458" s="192"/>
      <c r="M458" s="192"/>
      <c r="N458" s="192"/>
      <c r="O458" s="192"/>
      <c r="P458" s="192"/>
      <c r="Q458" s="192"/>
    </row>
    <row r="459" spans="1:17" s="27" customFormat="1" ht="12.75">
      <c r="A459" s="60" t="s">
        <v>8</v>
      </c>
      <c r="B459" s="29" t="s">
        <v>69</v>
      </c>
      <c r="C459" s="29" t="s">
        <v>36</v>
      </c>
      <c r="D459" s="13"/>
      <c r="E459" s="13"/>
      <c r="F459" s="30">
        <f>F460+F537+F663+F768</f>
        <v>324476.6</v>
      </c>
      <c r="G459" s="30">
        <f>G460+G537+G663+G768</f>
        <v>316598.99999999994</v>
      </c>
      <c r="H459" s="30">
        <f t="shared" si="64"/>
        <v>7877.600000000035</v>
      </c>
      <c r="I459" s="82">
        <f t="shared" si="65"/>
        <v>97.5722132196898</v>
      </c>
      <c r="L459" s="192"/>
      <c r="M459" s="192"/>
      <c r="N459" s="192"/>
      <c r="O459" s="192"/>
      <c r="P459" s="192"/>
      <c r="Q459" s="192"/>
    </row>
    <row r="460" spans="1:17" s="27" customFormat="1" ht="12.75">
      <c r="A460" s="60" t="s">
        <v>9</v>
      </c>
      <c r="B460" s="29" t="s">
        <v>69</v>
      </c>
      <c r="C460" s="29" t="s">
        <v>66</v>
      </c>
      <c r="D460" s="29"/>
      <c r="E460" s="29"/>
      <c r="F460" s="30">
        <f>F461+F494+F500+F506+F520+F530+F480</f>
        <v>76884.5</v>
      </c>
      <c r="G460" s="30">
        <f>G461+G494+G500+G506+G520+G530+G480</f>
        <v>75732.5</v>
      </c>
      <c r="H460" s="30">
        <f t="shared" si="64"/>
        <v>1152</v>
      </c>
      <c r="I460" s="82">
        <f t="shared" si="65"/>
        <v>98.50164857676124</v>
      </c>
      <c r="L460" s="192"/>
      <c r="M460" s="192"/>
      <c r="N460" s="192"/>
      <c r="O460" s="192"/>
      <c r="P460" s="192"/>
      <c r="Q460" s="192"/>
    </row>
    <row r="461" spans="1:17" s="27" customFormat="1" ht="25.5">
      <c r="A461" s="46" t="s">
        <v>309</v>
      </c>
      <c r="B461" s="13" t="s">
        <v>69</v>
      </c>
      <c r="C461" s="13" t="s">
        <v>66</v>
      </c>
      <c r="D461" s="13" t="s">
        <v>310</v>
      </c>
      <c r="E461" s="13"/>
      <c r="F461" s="14">
        <f>F462</f>
        <v>61687.6</v>
      </c>
      <c r="G461" s="14">
        <f>G462</f>
        <v>61133.8</v>
      </c>
      <c r="H461" s="14">
        <f t="shared" si="64"/>
        <v>553.7999999999956</v>
      </c>
      <c r="I461" s="77">
        <f t="shared" si="65"/>
        <v>99.10225069543961</v>
      </c>
      <c r="L461" s="192"/>
      <c r="M461" s="192"/>
      <c r="N461" s="192"/>
      <c r="O461" s="192"/>
      <c r="P461" s="192"/>
      <c r="Q461" s="192"/>
    </row>
    <row r="462" spans="1:17" s="27" customFormat="1" ht="25.5">
      <c r="A462" s="46" t="s">
        <v>163</v>
      </c>
      <c r="B462" s="13" t="s">
        <v>69</v>
      </c>
      <c r="C462" s="13" t="s">
        <v>66</v>
      </c>
      <c r="D462" s="13" t="s">
        <v>311</v>
      </c>
      <c r="E462" s="13"/>
      <c r="F462" s="14">
        <f>F463</f>
        <v>61687.6</v>
      </c>
      <c r="G462" s="14">
        <f>G463</f>
        <v>61133.8</v>
      </c>
      <c r="H462" s="14">
        <f t="shared" si="64"/>
        <v>553.7999999999956</v>
      </c>
      <c r="I462" s="77">
        <f t="shared" si="65"/>
        <v>99.10225069543961</v>
      </c>
      <c r="L462" s="192"/>
      <c r="M462" s="192"/>
      <c r="N462" s="192"/>
      <c r="O462" s="192"/>
      <c r="P462" s="192"/>
      <c r="Q462" s="192"/>
    </row>
    <row r="463" spans="1:17" s="27" customFormat="1" ht="12.75">
      <c r="A463" s="46" t="s">
        <v>312</v>
      </c>
      <c r="B463" s="13" t="s">
        <v>69</v>
      </c>
      <c r="C463" s="13" t="s">
        <v>66</v>
      </c>
      <c r="D463" s="13" t="s">
        <v>313</v>
      </c>
      <c r="E463" s="13"/>
      <c r="F463" s="14">
        <f>F464+F468+F472+F476</f>
        <v>61687.6</v>
      </c>
      <c r="G463" s="14">
        <f>G464+G468+G472+G476</f>
        <v>61133.8</v>
      </c>
      <c r="H463" s="14">
        <f t="shared" si="64"/>
        <v>553.7999999999956</v>
      </c>
      <c r="I463" s="77">
        <f t="shared" si="65"/>
        <v>99.10225069543961</v>
      </c>
      <c r="L463" s="192"/>
      <c r="M463" s="192"/>
      <c r="N463" s="192"/>
      <c r="O463" s="192"/>
      <c r="P463" s="192"/>
      <c r="Q463" s="192"/>
    </row>
    <row r="464" spans="1:17" s="27" customFormat="1" ht="38.25">
      <c r="A464" s="46" t="s">
        <v>394</v>
      </c>
      <c r="B464" s="13" t="s">
        <v>69</v>
      </c>
      <c r="C464" s="13" t="s">
        <v>66</v>
      </c>
      <c r="D464" s="13" t="s">
        <v>326</v>
      </c>
      <c r="E464" s="13"/>
      <c r="F464" s="14">
        <f aca="true" t="shared" si="66" ref="F464:G466">F465</f>
        <v>345.6</v>
      </c>
      <c r="G464" s="14">
        <f t="shared" si="66"/>
        <v>249</v>
      </c>
      <c r="H464" s="14">
        <f t="shared" si="64"/>
        <v>96.60000000000002</v>
      </c>
      <c r="I464" s="77">
        <f t="shared" si="65"/>
        <v>72.0486111111111</v>
      </c>
      <c r="L464" s="192"/>
      <c r="M464" s="192"/>
      <c r="N464" s="192"/>
      <c r="O464" s="192"/>
      <c r="P464" s="192"/>
      <c r="Q464" s="192"/>
    </row>
    <row r="465" spans="1:17" s="27" customFormat="1" ht="25.5">
      <c r="A465" s="46" t="s">
        <v>114</v>
      </c>
      <c r="B465" s="13" t="s">
        <v>69</v>
      </c>
      <c r="C465" s="13" t="s">
        <v>66</v>
      </c>
      <c r="D465" s="13" t="s">
        <v>326</v>
      </c>
      <c r="E465" s="13" t="s">
        <v>115</v>
      </c>
      <c r="F465" s="14">
        <f t="shared" si="66"/>
        <v>345.6</v>
      </c>
      <c r="G465" s="14">
        <f t="shared" si="66"/>
        <v>249</v>
      </c>
      <c r="H465" s="14">
        <f t="shared" si="64"/>
        <v>96.60000000000002</v>
      </c>
      <c r="I465" s="77">
        <f t="shared" si="65"/>
        <v>72.0486111111111</v>
      </c>
      <c r="L465" s="192"/>
      <c r="M465" s="192"/>
      <c r="N465" s="192"/>
      <c r="O465" s="192"/>
      <c r="P465" s="192"/>
      <c r="Q465" s="192"/>
    </row>
    <row r="466" spans="1:17" s="27" customFormat="1" ht="12.75">
      <c r="A466" s="46" t="s">
        <v>120</v>
      </c>
      <c r="B466" s="13" t="s">
        <v>69</v>
      </c>
      <c r="C466" s="13" t="s">
        <v>66</v>
      </c>
      <c r="D466" s="13" t="s">
        <v>326</v>
      </c>
      <c r="E466" s="13" t="s">
        <v>121</v>
      </c>
      <c r="F466" s="14">
        <f t="shared" si="66"/>
        <v>345.6</v>
      </c>
      <c r="G466" s="14">
        <f t="shared" si="66"/>
        <v>249</v>
      </c>
      <c r="H466" s="14">
        <f t="shared" si="64"/>
        <v>96.60000000000002</v>
      </c>
      <c r="I466" s="77">
        <f t="shared" si="65"/>
        <v>72.0486111111111</v>
      </c>
      <c r="L466" s="192"/>
      <c r="M466" s="192"/>
      <c r="N466" s="192"/>
      <c r="O466" s="192"/>
      <c r="P466" s="192"/>
      <c r="Q466" s="192"/>
    </row>
    <row r="467" spans="1:17" s="27" customFormat="1" ht="38.25">
      <c r="A467" s="46" t="s">
        <v>122</v>
      </c>
      <c r="B467" s="13" t="s">
        <v>69</v>
      </c>
      <c r="C467" s="13" t="s">
        <v>66</v>
      </c>
      <c r="D467" s="13" t="s">
        <v>326</v>
      </c>
      <c r="E467" s="13" t="s">
        <v>123</v>
      </c>
      <c r="F467" s="14">
        <f>'пр. 4 Вед'!G489</f>
        <v>345.6</v>
      </c>
      <c r="G467" s="14">
        <f>'пр. 4 Вед'!H489</f>
        <v>249</v>
      </c>
      <c r="H467" s="14">
        <f t="shared" si="64"/>
        <v>96.60000000000002</v>
      </c>
      <c r="I467" s="77">
        <f t="shared" si="65"/>
        <v>72.0486111111111</v>
      </c>
      <c r="L467" s="192"/>
      <c r="M467" s="192"/>
      <c r="N467" s="192"/>
      <c r="O467" s="192"/>
      <c r="P467" s="192"/>
      <c r="Q467" s="192"/>
    </row>
    <row r="468" spans="1:17" s="27" customFormat="1" ht="52.5" customHeight="1">
      <c r="A468" s="46" t="str">
        <f>'пр. 4 Вед'!A823</f>
        <v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v>
      </c>
      <c r="B468" s="13" t="s">
        <v>69</v>
      </c>
      <c r="C468" s="13" t="s">
        <v>66</v>
      </c>
      <c r="D468" s="13" t="s">
        <v>327</v>
      </c>
      <c r="E468" s="13"/>
      <c r="F468" s="14">
        <f aca="true" t="shared" si="67" ref="F468:G470">F469</f>
        <v>1441.3999999999999</v>
      </c>
      <c r="G468" s="14">
        <f t="shared" si="67"/>
        <v>1378.8</v>
      </c>
      <c r="H468" s="14">
        <f t="shared" si="64"/>
        <v>62.59999999999991</v>
      </c>
      <c r="I468" s="77">
        <f t="shared" si="65"/>
        <v>95.657000138754</v>
      </c>
      <c r="L468" s="192"/>
      <c r="M468" s="192"/>
      <c r="N468" s="192"/>
      <c r="O468" s="192"/>
      <c r="P468" s="192"/>
      <c r="Q468" s="192"/>
    </row>
    <row r="469" spans="1:17" s="27" customFormat="1" ht="25.5">
      <c r="A469" s="46" t="s">
        <v>114</v>
      </c>
      <c r="B469" s="13" t="s">
        <v>69</v>
      </c>
      <c r="C469" s="13" t="s">
        <v>66</v>
      </c>
      <c r="D469" s="13" t="s">
        <v>327</v>
      </c>
      <c r="E469" s="13" t="s">
        <v>115</v>
      </c>
      <c r="F469" s="14">
        <f t="shared" si="67"/>
        <v>1441.3999999999999</v>
      </c>
      <c r="G469" s="14">
        <f t="shared" si="67"/>
        <v>1378.8</v>
      </c>
      <c r="H469" s="14">
        <f t="shared" si="64"/>
        <v>62.59999999999991</v>
      </c>
      <c r="I469" s="77">
        <f t="shared" si="65"/>
        <v>95.657000138754</v>
      </c>
      <c r="L469" s="192"/>
      <c r="M469" s="192"/>
      <c r="N469" s="192"/>
      <c r="O469" s="192"/>
      <c r="P469" s="192"/>
      <c r="Q469" s="192"/>
    </row>
    <row r="470" spans="1:17" s="27" customFormat="1" ht="12.75">
      <c r="A470" s="46" t="s">
        <v>120</v>
      </c>
      <c r="B470" s="13" t="s">
        <v>69</v>
      </c>
      <c r="C470" s="13" t="s">
        <v>66</v>
      </c>
      <c r="D470" s="13" t="s">
        <v>327</v>
      </c>
      <c r="E470" s="13" t="s">
        <v>121</v>
      </c>
      <c r="F470" s="14">
        <f t="shared" si="67"/>
        <v>1441.3999999999999</v>
      </c>
      <c r="G470" s="14">
        <f t="shared" si="67"/>
        <v>1378.8</v>
      </c>
      <c r="H470" s="14">
        <f t="shared" si="64"/>
        <v>62.59999999999991</v>
      </c>
      <c r="I470" s="77">
        <f t="shared" si="65"/>
        <v>95.657000138754</v>
      </c>
      <c r="L470" s="192"/>
      <c r="M470" s="192"/>
      <c r="N470" s="192"/>
      <c r="O470" s="192"/>
      <c r="P470" s="192"/>
      <c r="Q470" s="192"/>
    </row>
    <row r="471" spans="1:17" s="27" customFormat="1" ht="38.25">
      <c r="A471" s="46" t="s">
        <v>122</v>
      </c>
      <c r="B471" s="13" t="s">
        <v>69</v>
      </c>
      <c r="C471" s="13" t="s">
        <v>66</v>
      </c>
      <c r="D471" s="13" t="s">
        <v>327</v>
      </c>
      <c r="E471" s="13" t="s">
        <v>123</v>
      </c>
      <c r="F471" s="14">
        <f>'пр. 4 Вед'!G493</f>
        <v>1441.3999999999999</v>
      </c>
      <c r="G471" s="14">
        <f>'пр. 4 Вед'!H493</f>
        <v>1378.8</v>
      </c>
      <c r="H471" s="14">
        <f t="shared" si="64"/>
        <v>62.59999999999991</v>
      </c>
      <c r="I471" s="77">
        <f t="shared" si="65"/>
        <v>95.657000138754</v>
      </c>
      <c r="L471" s="192"/>
      <c r="M471" s="192"/>
      <c r="N471" s="192"/>
      <c r="O471" s="192"/>
      <c r="P471" s="192"/>
      <c r="Q471" s="192"/>
    </row>
    <row r="472" spans="1:17" s="27" customFormat="1" ht="38.25">
      <c r="A472" s="46" t="s">
        <v>395</v>
      </c>
      <c r="B472" s="13" t="s">
        <v>69</v>
      </c>
      <c r="C472" s="13" t="s">
        <v>66</v>
      </c>
      <c r="D472" s="13" t="s">
        <v>328</v>
      </c>
      <c r="E472" s="13"/>
      <c r="F472" s="14">
        <f aca="true" t="shared" si="68" ref="F472:G474">F473</f>
        <v>58158.7</v>
      </c>
      <c r="G472" s="14">
        <f t="shared" si="68"/>
        <v>58070</v>
      </c>
      <c r="H472" s="14">
        <f t="shared" si="64"/>
        <v>88.69999999999709</v>
      </c>
      <c r="I472" s="77">
        <f t="shared" si="65"/>
        <v>99.84748627462444</v>
      </c>
      <c r="L472" s="192"/>
      <c r="M472" s="192"/>
      <c r="N472" s="192"/>
      <c r="O472" s="192"/>
      <c r="P472" s="192"/>
      <c r="Q472" s="192"/>
    </row>
    <row r="473" spans="1:17" s="27" customFormat="1" ht="25.5">
      <c r="A473" s="46" t="s">
        <v>114</v>
      </c>
      <c r="B473" s="13" t="s">
        <v>69</v>
      </c>
      <c r="C473" s="13" t="s">
        <v>66</v>
      </c>
      <c r="D473" s="13" t="s">
        <v>328</v>
      </c>
      <c r="E473" s="13" t="s">
        <v>115</v>
      </c>
      <c r="F473" s="14">
        <f t="shared" si="68"/>
        <v>58158.7</v>
      </c>
      <c r="G473" s="14">
        <f t="shared" si="68"/>
        <v>58070</v>
      </c>
      <c r="H473" s="14">
        <f t="shared" si="64"/>
        <v>88.69999999999709</v>
      </c>
      <c r="I473" s="77">
        <f t="shared" si="65"/>
        <v>99.84748627462444</v>
      </c>
      <c r="L473" s="192"/>
      <c r="M473" s="192"/>
      <c r="N473" s="192"/>
      <c r="O473" s="192"/>
      <c r="P473" s="192"/>
      <c r="Q473" s="192"/>
    </row>
    <row r="474" spans="1:17" s="27" customFormat="1" ht="12.75">
      <c r="A474" s="46" t="s">
        <v>120</v>
      </c>
      <c r="B474" s="13" t="s">
        <v>69</v>
      </c>
      <c r="C474" s="13" t="s">
        <v>66</v>
      </c>
      <c r="D474" s="13" t="s">
        <v>328</v>
      </c>
      <c r="E474" s="13" t="s">
        <v>121</v>
      </c>
      <c r="F474" s="14">
        <f t="shared" si="68"/>
        <v>58158.7</v>
      </c>
      <c r="G474" s="14">
        <f t="shared" si="68"/>
        <v>58070</v>
      </c>
      <c r="H474" s="14">
        <f t="shared" si="64"/>
        <v>88.69999999999709</v>
      </c>
      <c r="I474" s="77">
        <f t="shared" si="65"/>
        <v>99.84748627462444</v>
      </c>
      <c r="L474" s="192"/>
      <c r="M474" s="192"/>
      <c r="N474" s="192"/>
      <c r="O474" s="192"/>
      <c r="P474" s="192"/>
      <c r="Q474" s="192"/>
    </row>
    <row r="475" spans="1:17" s="27" customFormat="1" ht="38.25">
      <c r="A475" s="46" t="s">
        <v>122</v>
      </c>
      <c r="B475" s="13" t="s">
        <v>69</v>
      </c>
      <c r="C475" s="13" t="s">
        <v>66</v>
      </c>
      <c r="D475" s="13" t="s">
        <v>328</v>
      </c>
      <c r="E475" s="13" t="s">
        <v>123</v>
      </c>
      <c r="F475" s="14">
        <f>'пр. 4 Вед'!G497</f>
        <v>58158.7</v>
      </c>
      <c r="G475" s="14">
        <f>'пр. 4 Вед'!H497</f>
        <v>58070</v>
      </c>
      <c r="H475" s="14">
        <f t="shared" si="64"/>
        <v>88.69999999999709</v>
      </c>
      <c r="I475" s="77">
        <f t="shared" si="65"/>
        <v>99.84748627462444</v>
      </c>
      <c r="L475" s="192"/>
      <c r="M475" s="192"/>
      <c r="N475" s="192"/>
      <c r="O475" s="192"/>
      <c r="P475" s="192"/>
      <c r="Q475" s="192"/>
    </row>
    <row r="476" spans="1:17" s="27" customFormat="1" ht="67.5" customHeight="1">
      <c r="A476" s="46" t="str">
        <f>'пр. 4 Вед'!A827</f>
        <v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v>
      </c>
      <c r="B476" s="13" t="s">
        <v>69</v>
      </c>
      <c r="C476" s="13" t="s">
        <v>66</v>
      </c>
      <c r="D476" s="13" t="s">
        <v>330</v>
      </c>
      <c r="E476" s="13"/>
      <c r="F476" s="14">
        <f aca="true" t="shared" si="69" ref="F476:G478">F477</f>
        <v>1741.9</v>
      </c>
      <c r="G476" s="14">
        <f t="shared" si="69"/>
        <v>1436</v>
      </c>
      <c r="H476" s="14">
        <f t="shared" si="64"/>
        <v>305.9000000000001</v>
      </c>
      <c r="I476" s="77">
        <f t="shared" si="65"/>
        <v>82.43871634422182</v>
      </c>
      <c r="L476" s="192"/>
      <c r="M476" s="192"/>
      <c r="N476" s="192"/>
      <c r="O476" s="192"/>
      <c r="P476" s="192"/>
      <c r="Q476" s="192"/>
    </row>
    <row r="477" spans="1:17" s="27" customFormat="1" ht="25.5">
      <c r="A477" s="46" t="s">
        <v>114</v>
      </c>
      <c r="B477" s="13" t="s">
        <v>69</v>
      </c>
      <c r="C477" s="13" t="s">
        <v>66</v>
      </c>
      <c r="D477" s="13" t="s">
        <v>330</v>
      </c>
      <c r="E477" s="13" t="s">
        <v>115</v>
      </c>
      <c r="F477" s="14">
        <f t="shared" si="69"/>
        <v>1741.9</v>
      </c>
      <c r="G477" s="14">
        <f t="shared" si="69"/>
        <v>1436</v>
      </c>
      <c r="H477" s="14">
        <f t="shared" si="64"/>
        <v>305.9000000000001</v>
      </c>
      <c r="I477" s="77">
        <f t="shared" si="65"/>
        <v>82.43871634422182</v>
      </c>
      <c r="L477" s="192"/>
      <c r="M477" s="192"/>
      <c r="N477" s="192"/>
      <c r="O477" s="192"/>
      <c r="P477" s="192"/>
      <c r="Q477" s="192"/>
    </row>
    <row r="478" spans="1:17" s="27" customFormat="1" ht="12.75">
      <c r="A478" s="46" t="s">
        <v>120</v>
      </c>
      <c r="B478" s="13" t="s">
        <v>69</v>
      </c>
      <c r="C478" s="13" t="s">
        <v>66</v>
      </c>
      <c r="D478" s="13" t="s">
        <v>330</v>
      </c>
      <c r="E478" s="13" t="s">
        <v>121</v>
      </c>
      <c r="F478" s="14">
        <f t="shared" si="69"/>
        <v>1741.9</v>
      </c>
      <c r="G478" s="14">
        <f t="shared" si="69"/>
        <v>1436</v>
      </c>
      <c r="H478" s="14">
        <f t="shared" si="64"/>
        <v>305.9000000000001</v>
      </c>
      <c r="I478" s="77">
        <f t="shared" si="65"/>
        <v>82.43871634422182</v>
      </c>
      <c r="L478" s="192"/>
      <c r="M478" s="192"/>
      <c r="N478" s="192"/>
      <c r="O478" s="192"/>
      <c r="P478" s="192"/>
      <c r="Q478" s="192"/>
    </row>
    <row r="479" spans="1:17" s="27" customFormat="1" ht="12.75">
      <c r="A479" s="46" t="s">
        <v>124</v>
      </c>
      <c r="B479" s="13" t="s">
        <v>69</v>
      </c>
      <c r="C479" s="13" t="s">
        <v>66</v>
      </c>
      <c r="D479" s="13" t="s">
        <v>330</v>
      </c>
      <c r="E479" s="13" t="s">
        <v>125</v>
      </c>
      <c r="F479" s="14">
        <f>'пр. 4 Вед'!G501</f>
        <v>1741.9</v>
      </c>
      <c r="G479" s="14">
        <f>'пр. 4 Вед'!H501</f>
        <v>1436</v>
      </c>
      <c r="H479" s="14">
        <f t="shared" si="64"/>
        <v>305.9000000000001</v>
      </c>
      <c r="I479" s="77">
        <f t="shared" si="65"/>
        <v>82.43871634422182</v>
      </c>
      <c r="L479" s="192"/>
      <c r="M479" s="192"/>
      <c r="N479" s="192"/>
      <c r="O479" s="192"/>
      <c r="P479" s="192"/>
      <c r="Q479" s="192"/>
    </row>
    <row r="480" spans="1:17" s="27" customFormat="1" ht="25.5">
      <c r="A480" s="25" t="s">
        <v>364</v>
      </c>
      <c r="B480" s="13" t="s">
        <v>69</v>
      </c>
      <c r="C480" s="13" t="s">
        <v>66</v>
      </c>
      <c r="D480" s="45" t="s">
        <v>224</v>
      </c>
      <c r="E480" s="13"/>
      <c r="F480" s="14">
        <f>F481</f>
        <v>1355.3999999999999</v>
      </c>
      <c r="G480" s="14">
        <f>G481</f>
        <v>1355.3</v>
      </c>
      <c r="H480" s="14">
        <f t="shared" si="64"/>
        <v>0.09999999999990905</v>
      </c>
      <c r="I480" s="77">
        <f t="shared" si="65"/>
        <v>99.9926221041759</v>
      </c>
      <c r="L480" s="192"/>
      <c r="M480" s="192"/>
      <c r="N480" s="192"/>
      <c r="O480" s="192"/>
      <c r="P480" s="192"/>
      <c r="Q480" s="192"/>
    </row>
    <row r="481" spans="1:17" s="27" customFormat="1" ht="12.75">
      <c r="A481" s="9" t="s">
        <v>676</v>
      </c>
      <c r="B481" s="13" t="s">
        <v>69</v>
      </c>
      <c r="C481" s="13" t="s">
        <v>66</v>
      </c>
      <c r="D481" s="45" t="s">
        <v>677</v>
      </c>
      <c r="E481" s="13"/>
      <c r="F481" s="14">
        <f>F482+F486+F490</f>
        <v>1355.3999999999999</v>
      </c>
      <c r="G481" s="14">
        <f>G482+G486+G490</f>
        <v>1355.3</v>
      </c>
      <c r="H481" s="14">
        <f t="shared" si="64"/>
        <v>0.09999999999990905</v>
      </c>
      <c r="I481" s="77">
        <f t="shared" si="65"/>
        <v>99.9926221041759</v>
      </c>
      <c r="L481" s="192"/>
      <c r="M481" s="192"/>
      <c r="N481" s="192"/>
      <c r="O481" s="192"/>
      <c r="P481" s="192"/>
      <c r="Q481" s="192"/>
    </row>
    <row r="482" spans="1:17" s="27" customFormat="1" ht="25.5">
      <c r="A482" s="9" t="s">
        <v>696</v>
      </c>
      <c r="B482" s="13" t="s">
        <v>69</v>
      </c>
      <c r="C482" s="13" t="s">
        <v>66</v>
      </c>
      <c r="D482" s="45" t="s">
        <v>678</v>
      </c>
      <c r="E482" s="13"/>
      <c r="F482" s="14">
        <f aca="true" t="shared" si="70" ref="F482:G484">F483</f>
        <v>1185</v>
      </c>
      <c r="G482" s="14">
        <f t="shared" si="70"/>
        <v>1185</v>
      </c>
      <c r="H482" s="14">
        <f t="shared" si="64"/>
        <v>0</v>
      </c>
      <c r="I482" s="77">
        <f t="shared" si="65"/>
        <v>100</v>
      </c>
      <c r="L482" s="192"/>
      <c r="M482" s="192"/>
      <c r="N482" s="192"/>
      <c r="O482" s="192"/>
      <c r="P482" s="192"/>
      <c r="Q482" s="192"/>
    </row>
    <row r="483" spans="1:17" s="27" customFormat="1" ht="25.5">
      <c r="A483" s="9" t="s">
        <v>114</v>
      </c>
      <c r="B483" s="13" t="s">
        <v>69</v>
      </c>
      <c r="C483" s="13" t="s">
        <v>66</v>
      </c>
      <c r="D483" s="45" t="s">
        <v>678</v>
      </c>
      <c r="E483" s="13" t="s">
        <v>115</v>
      </c>
      <c r="F483" s="14">
        <f t="shared" si="70"/>
        <v>1185</v>
      </c>
      <c r="G483" s="14">
        <f t="shared" si="70"/>
        <v>1185</v>
      </c>
      <c r="H483" s="14">
        <f t="shared" si="64"/>
        <v>0</v>
      </c>
      <c r="I483" s="77">
        <f t="shared" si="65"/>
        <v>100</v>
      </c>
      <c r="L483" s="192"/>
      <c r="M483" s="192"/>
      <c r="N483" s="192"/>
      <c r="O483" s="192"/>
      <c r="P483" s="192"/>
      <c r="Q483" s="192"/>
    </row>
    <row r="484" spans="1:17" s="27" customFormat="1" ht="12.75">
      <c r="A484" s="9" t="s">
        <v>120</v>
      </c>
      <c r="B484" s="13" t="s">
        <v>69</v>
      </c>
      <c r="C484" s="13" t="s">
        <v>66</v>
      </c>
      <c r="D484" s="45" t="s">
        <v>678</v>
      </c>
      <c r="E484" s="13" t="s">
        <v>121</v>
      </c>
      <c r="F484" s="14">
        <f t="shared" si="70"/>
        <v>1185</v>
      </c>
      <c r="G484" s="14">
        <f t="shared" si="70"/>
        <v>1185</v>
      </c>
      <c r="H484" s="14">
        <f t="shared" si="64"/>
        <v>0</v>
      </c>
      <c r="I484" s="77">
        <f t="shared" si="65"/>
        <v>100</v>
      </c>
      <c r="L484" s="192"/>
      <c r="M484" s="192"/>
      <c r="N484" s="192"/>
      <c r="O484" s="192"/>
      <c r="P484" s="192"/>
      <c r="Q484" s="192"/>
    </row>
    <row r="485" spans="1:17" s="27" customFormat="1" ht="12.75">
      <c r="A485" s="9" t="s">
        <v>124</v>
      </c>
      <c r="B485" s="13" t="s">
        <v>69</v>
      </c>
      <c r="C485" s="13" t="s">
        <v>66</v>
      </c>
      <c r="D485" s="45" t="s">
        <v>678</v>
      </c>
      <c r="E485" s="13" t="s">
        <v>125</v>
      </c>
      <c r="F485" s="14">
        <f>'пр. 4 Вед'!G507</f>
        <v>1185</v>
      </c>
      <c r="G485" s="14">
        <f>'пр. 4 Вед'!H507</f>
        <v>1185</v>
      </c>
      <c r="H485" s="14">
        <f t="shared" si="64"/>
        <v>0</v>
      </c>
      <c r="I485" s="77">
        <f t="shared" si="65"/>
        <v>100</v>
      </c>
      <c r="L485" s="192"/>
      <c r="M485" s="192"/>
      <c r="N485" s="192"/>
      <c r="O485" s="192"/>
      <c r="P485" s="192"/>
      <c r="Q485" s="192"/>
    </row>
    <row r="486" spans="1:17" s="27" customFormat="1" ht="25.5">
      <c r="A486" s="9" t="s">
        <v>697</v>
      </c>
      <c r="B486" s="13" t="s">
        <v>69</v>
      </c>
      <c r="C486" s="13" t="s">
        <v>66</v>
      </c>
      <c r="D486" s="45" t="s">
        <v>679</v>
      </c>
      <c r="E486" s="13"/>
      <c r="F486" s="14">
        <f aca="true" t="shared" si="71" ref="F486:G488">F487</f>
        <v>112.8</v>
      </c>
      <c r="G486" s="14">
        <f t="shared" si="71"/>
        <v>112.7</v>
      </c>
      <c r="H486" s="14">
        <f t="shared" si="64"/>
        <v>0.09999999999999432</v>
      </c>
      <c r="I486" s="77">
        <f t="shared" si="65"/>
        <v>99.91134751773049</v>
      </c>
      <c r="L486" s="192"/>
      <c r="M486" s="192"/>
      <c r="N486" s="192"/>
      <c r="O486" s="192"/>
      <c r="P486" s="192"/>
      <c r="Q486" s="192"/>
    </row>
    <row r="487" spans="1:17" s="27" customFormat="1" ht="25.5">
      <c r="A487" s="9" t="s">
        <v>114</v>
      </c>
      <c r="B487" s="13" t="s">
        <v>69</v>
      </c>
      <c r="C487" s="13" t="s">
        <v>66</v>
      </c>
      <c r="D487" s="45" t="s">
        <v>679</v>
      </c>
      <c r="E487" s="13" t="s">
        <v>115</v>
      </c>
      <c r="F487" s="14">
        <f t="shared" si="71"/>
        <v>112.8</v>
      </c>
      <c r="G487" s="14">
        <f t="shared" si="71"/>
        <v>112.7</v>
      </c>
      <c r="H487" s="14">
        <f t="shared" si="64"/>
        <v>0.09999999999999432</v>
      </c>
      <c r="I487" s="77">
        <f t="shared" si="65"/>
        <v>99.91134751773049</v>
      </c>
      <c r="L487" s="192"/>
      <c r="M487" s="192"/>
      <c r="N487" s="192"/>
      <c r="O487" s="192"/>
      <c r="P487" s="192"/>
      <c r="Q487" s="192"/>
    </row>
    <row r="488" spans="1:17" s="27" customFormat="1" ht="12.75">
      <c r="A488" s="9" t="s">
        <v>120</v>
      </c>
      <c r="B488" s="13" t="s">
        <v>69</v>
      </c>
      <c r="C488" s="13" t="s">
        <v>66</v>
      </c>
      <c r="D488" s="45" t="s">
        <v>679</v>
      </c>
      <c r="E488" s="13" t="s">
        <v>121</v>
      </c>
      <c r="F488" s="14">
        <f t="shared" si="71"/>
        <v>112.8</v>
      </c>
      <c r="G488" s="14">
        <f t="shared" si="71"/>
        <v>112.7</v>
      </c>
      <c r="H488" s="14">
        <f t="shared" si="64"/>
        <v>0.09999999999999432</v>
      </c>
      <c r="I488" s="77">
        <f t="shared" si="65"/>
        <v>99.91134751773049</v>
      </c>
      <c r="L488" s="192"/>
      <c r="M488" s="192"/>
      <c r="N488" s="192"/>
      <c r="O488" s="192"/>
      <c r="P488" s="192"/>
      <c r="Q488" s="192"/>
    </row>
    <row r="489" spans="1:17" s="27" customFormat="1" ht="12.75">
      <c r="A489" s="9" t="s">
        <v>124</v>
      </c>
      <c r="B489" s="13" t="s">
        <v>69</v>
      </c>
      <c r="C489" s="13" t="s">
        <v>66</v>
      </c>
      <c r="D489" s="45" t="s">
        <v>679</v>
      </c>
      <c r="E489" s="13" t="s">
        <v>125</v>
      </c>
      <c r="F489" s="14">
        <f>'пр. 4 Вед'!G511</f>
        <v>112.8</v>
      </c>
      <c r="G489" s="14">
        <f>'пр. 4 Вед'!H511</f>
        <v>112.7</v>
      </c>
      <c r="H489" s="14">
        <f t="shared" si="64"/>
        <v>0.09999999999999432</v>
      </c>
      <c r="I489" s="77">
        <f t="shared" si="65"/>
        <v>99.91134751773049</v>
      </c>
      <c r="L489" s="192"/>
      <c r="M489" s="192"/>
      <c r="N489" s="192"/>
      <c r="O489" s="192"/>
      <c r="P489" s="192"/>
      <c r="Q489" s="192"/>
    </row>
    <row r="490" spans="1:17" s="27" customFormat="1" ht="63.75">
      <c r="A490" s="9" t="s">
        <v>735</v>
      </c>
      <c r="B490" s="13" t="s">
        <v>69</v>
      </c>
      <c r="C490" s="13" t="s">
        <v>66</v>
      </c>
      <c r="D490" s="45" t="s">
        <v>736</v>
      </c>
      <c r="E490" s="13"/>
      <c r="F490" s="14">
        <f aca="true" t="shared" si="72" ref="F490:G492">F491</f>
        <v>57.599999999999994</v>
      </c>
      <c r="G490" s="14">
        <f t="shared" si="72"/>
        <v>57.6</v>
      </c>
      <c r="H490" s="14">
        <f t="shared" si="64"/>
        <v>0</v>
      </c>
      <c r="I490" s="77">
        <f t="shared" si="65"/>
        <v>100.00000000000003</v>
      </c>
      <c r="L490" s="192"/>
      <c r="M490" s="192"/>
      <c r="N490" s="192"/>
      <c r="O490" s="192"/>
      <c r="P490" s="192"/>
      <c r="Q490" s="192"/>
    </row>
    <row r="491" spans="1:17" s="27" customFormat="1" ht="25.5">
      <c r="A491" s="9" t="s">
        <v>114</v>
      </c>
      <c r="B491" s="13" t="s">
        <v>69</v>
      </c>
      <c r="C491" s="13" t="s">
        <v>66</v>
      </c>
      <c r="D491" s="45" t="s">
        <v>736</v>
      </c>
      <c r="E491" s="13" t="s">
        <v>115</v>
      </c>
      <c r="F491" s="14">
        <f t="shared" si="72"/>
        <v>57.599999999999994</v>
      </c>
      <c r="G491" s="14">
        <f t="shared" si="72"/>
        <v>57.6</v>
      </c>
      <c r="H491" s="14">
        <f t="shared" si="64"/>
        <v>0</v>
      </c>
      <c r="I491" s="77">
        <f t="shared" si="65"/>
        <v>100.00000000000003</v>
      </c>
      <c r="L491" s="192"/>
      <c r="M491" s="192"/>
      <c r="N491" s="192"/>
      <c r="O491" s="192"/>
      <c r="P491" s="192"/>
      <c r="Q491" s="192"/>
    </row>
    <row r="492" spans="1:17" s="27" customFormat="1" ht="12.75">
      <c r="A492" s="9" t="s">
        <v>120</v>
      </c>
      <c r="B492" s="13" t="s">
        <v>69</v>
      </c>
      <c r="C492" s="13" t="s">
        <v>66</v>
      </c>
      <c r="D492" s="45" t="s">
        <v>736</v>
      </c>
      <c r="E492" s="13" t="s">
        <v>121</v>
      </c>
      <c r="F492" s="14">
        <f t="shared" si="72"/>
        <v>57.599999999999994</v>
      </c>
      <c r="G492" s="14">
        <f t="shared" si="72"/>
        <v>57.6</v>
      </c>
      <c r="H492" s="14">
        <f t="shared" si="64"/>
        <v>0</v>
      </c>
      <c r="I492" s="77">
        <f t="shared" si="65"/>
        <v>100.00000000000003</v>
      </c>
      <c r="L492" s="192"/>
      <c r="M492" s="192"/>
      <c r="N492" s="192"/>
      <c r="O492" s="192"/>
      <c r="P492" s="192"/>
      <c r="Q492" s="192"/>
    </row>
    <row r="493" spans="1:17" s="27" customFormat="1" ht="12.75">
      <c r="A493" s="9" t="s">
        <v>124</v>
      </c>
      <c r="B493" s="13" t="s">
        <v>69</v>
      </c>
      <c r="C493" s="13" t="s">
        <v>66</v>
      </c>
      <c r="D493" s="45" t="s">
        <v>736</v>
      </c>
      <c r="E493" s="13" t="s">
        <v>125</v>
      </c>
      <c r="F493" s="14">
        <f>'пр. 4 Вед'!G515</f>
        <v>57.599999999999994</v>
      </c>
      <c r="G493" s="14">
        <f>'пр. 4 Вед'!H515</f>
        <v>57.6</v>
      </c>
      <c r="H493" s="14">
        <f t="shared" si="64"/>
        <v>0</v>
      </c>
      <c r="I493" s="77">
        <f t="shared" si="65"/>
        <v>100.00000000000003</v>
      </c>
      <c r="L493" s="192"/>
      <c r="M493" s="192"/>
      <c r="N493" s="192"/>
      <c r="O493" s="192"/>
      <c r="P493" s="192"/>
      <c r="Q493" s="192"/>
    </row>
    <row r="494" spans="1:17" s="27" customFormat="1" ht="25.5">
      <c r="A494" s="46" t="s">
        <v>359</v>
      </c>
      <c r="B494" s="13" t="s">
        <v>69</v>
      </c>
      <c r="C494" s="13" t="s">
        <v>66</v>
      </c>
      <c r="D494" s="45" t="s">
        <v>202</v>
      </c>
      <c r="E494" s="32"/>
      <c r="F494" s="14">
        <f aca="true" t="shared" si="73" ref="F494:G498">F495</f>
        <v>202</v>
      </c>
      <c r="G494" s="14">
        <f t="shared" si="73"/>
        <v>201.6</v>
      </c>
      <c r="H494" s="14">
        <f t="shared" si="64"/>
        <v>0.4000000000000057</v>
      </c>
      <c r="I494" s="77">
        <f t="shared" si="65"/>
        <v>99.8019801980198</v>
      </c>
      <c r="L494" s="192"/>
      <c r="M494" s="192"/>
      <c r="N494" s="192"/>
      <c r="O494" s="192"/>
      <c r="P494" s="192"/>
      <c r="Q494" s="192"/>
    </row>
    <row r="495" spans="1:17" s="27" customFormat="1" ht="25.5">
      <c r="A495" s="46" t="s">
        <v>385</v>
      </c>
      <c r="B495" s="13" t="s">
        <v>69</v>
      </c>
      <c r="C495" s="13" t="s">
        <v>66</v>
      </c>
      <c r="D495" s="45" t="s">
        <v>449</v>
      </c>
      <c r="E495" s="32"/>
      <c r="F495" s="14">
        <f t="shared" si="73"/>
        <v>202</v>
      </c>
      <c r="G495" s="14">
        <f t="shared" si="73"/>
        <v>201.6</v>
      </c>
      <c r="H495" s="14">
        <f t="shared" si="64"/>
        <v>0.4000000000000057</v>
      </c>
      <c r="I495" s="77">
        <f t="shared" si="65"/>
        <v>99.8019801980198</v>
      </c>
      <c r="L495" s="192"/>
      <c r="M495" s="192"/>
      <c r="N495" s="192"/>
      <c r="O495" s="192"/>
      <c r="P495" s="192"/>
      <c r="Q495" s="192"/>
    </row>
    <row r="496" spans="1:17" s="27" customFormat="1" ht="12.75">
      <c r="A496" s="46" t="s">
        <v>199</v>
      </c>
      <c r="B496" s="13" t="s">
        <v>69</v>
      </c>
      <c r="C496" s="13" t="s">
        <v>66</v>
      </c>
      <c r="D496" s="45" t="s">
        <v>450</v>
      </c>
      <c r="E496" s="32"/>
      <c r="F496" s="14">
        <f t="shared" si="73"/>
        <v>202</v>
      </c>
      <c r="G496" s="14">
        <f t="shared" si="73"/>
        <v>201.6</v>
      </c>
      <c r="H496" s="14">
        <f t="shared" si="64"/>
        <v>0.4000000000000057</v>
      </c>
      <c r="I496" s="77">
        <f t="shared" si="65"/>
        <v>99.8019801980198</v>
      </c>
      <c r="L496" s="192"/>
      <c r="M496" s="192"/>
      <c r="N496" s="192"/>
      <c r="O496" s="192"/>
      <c r="P496" s="192"/>
      <c r="Q496" s="192"/>
    </row>
    <row r="497" spans="1:17" s="27" customFormat="1" ht="25.5">
      <c r="A497" s="46" t="s">
        <v>114</v>
      </c>
      <c r="B497" s="13" t="s">
        <v>69</v>
      </c>
      <c r="C497" s="13" t="s">
        <v>66</v>
      </c>
      <c r="D497" s="45" t="s">
        <v>450</v>
      </c>
      <c r="E497" s="13" t="s">
        <v>115</v>
      </c>
      <c r="F497" s="14">
        <f t="shared" si="73"/>
        <v>202</v>
      </c>
      <c r="G497" s="14">
        <f t="shared" si="73"/>
        <v>201.6</v>
      </c>
      <c r="H497" s="14">
        <f t="shared" si="64"/>
        <v>0.4000000000000057</v>
      </c>
      <c r="I497" s="77">
        <f t="shared" si="65"/>
        <v>99.8019801980198</v>
      </c>
      <c r="L497" s="192"/>
      <c r="M497" s="192"/>
      <c r="N497" s="192"/>
      <c r="O497" s="192"/>
      <c r="P497" s="192"/>
      <c r="Q497" s="192"/>
    </row>
    <row r="498" spans="1:17" s="27" customFormat="1" ht="12.75">
      <c r="A498" s="46" t="s">
        <v>120</v>
      </c>
      <c r="B498" s="13" t="s">
        <v>69</v>
      </c>
      <c r="C498" s="13" t="s">
        <v>66</v>
      </c>
      <c r="D498" s="45" t="s">
        <v>450</v>
      </c>
      <c r="E498" s="13" t="s">
        <v>121</v>
      </c>
      <c r="F498" s="14">
        <f t="shared" si="73"/>
        <v>202</v>
      </c>
      <c r="G498" s="14">
        <f t="shared" si="73"/>
        <v>201.6</v>
      </c>
      <c r="H498" s="14">
        <f t="shared" si="64"/>
        <v>0.4000000000000057</v>
      </c>
      <c r="I498" s="77">
        <f t="shared" si="65"/>
        <v>99.8019801980198</v>
      </c>
      <c r="L498" s="192"/>
      <c r="M498" s="192"/>
      <c r="N498" s="192"/>
      <c r="O498" s="192"/>
      <c r="P498" s="192"/>
      <c r="Q498" s="192"/>
    </row>
    <row r="499" spans="1:17" s="27" customFormat="1" ht="12.75">
      <c r="A499" s="46" t="s">
        <v>124</v>
      </c>
      <c r="B499" s="13" t="s">
        <v>69</v>
      </c>
      <c r="C499" s="13" t="s">
        <v>66</v>
      </c>
      <c r="D499" s="45" t="s">
        <v>450</v>
      </c>
      <c r="E499" s="13" t="s">
        <v>125</v>
      </c>
      <c r="F499" s="14">
        <f>'пр. 4 Вед'!G521</f>
        <v>202</v>
      </c>
      <c r="G499" s="14">
        <f>'пр. 4 Вед'!H521</f>
        <v>201.6</v>
      </c>
      <c r="H499" s="14">
        <f t="shared" si="64"/>
        <v>0.4000000000000057</v>
      </c>
      <c r="I499" s="77">
        <f t="shared" si="65"/>
        <v>99.8019801980198</v>
      </c>
      <c r="L499" s="192"/>
      <c r="M499" s="192"/>
      <c r="N499" s="192"/>
      <c r="O499" s="192"/>
      <c r="P499" s="192"/>
      <c r="Q499" s="192"/>
    </row>
    <row r="500" spans="1:17" s="27" customFormat="1" ht="25.5">
      <c r="A500" s="46" t="s">
        <v>360</v>
      </c>
      <c r="B500" s="13" t="s">
        <v>69</v>
      </c>
      <c r="C500" s="13" t="s">
        <v>66</v>
      </c>
      <c r="D500" s="45" t="s">
        <v>203</v>
      </c>
      <c r="E500" s="13"/>
      <c r="F500" s="14">
        <f aca="true" t="shared" si="74" ref="F500:G504">F501</f>
        <v>142.3</v>
      </c>
      <c r="G500" s="14">
        <f t="shared" si="74"/>
        <v>117.9</v>
      </c>
      <c r="H500" s="14">
        <f t="shared" si="64"/>
        <v>24.400000000000006</v>
      </c>
      <c r="I500" s="77">
        <f t="shared" si="65"/>
        <v>82.85312719606465</v>
      </c>
      <c r="L500" s="192"/>
      <c r="M500" s="192"/>
      <c r="N500" s="192"/>
      <c r="O500" s="192"/>
      <c r="P500" s="192"/>
      <c r="Q500" s="192"/>
    </row>
    <row r="501" spans="1:17" s="27" customFormat="1" ht="25.5">
      <c r="A501" s="46" t="s">
        <v>354</v>
      </c>
      <c r="B501" s="13" t="s">
        <v>69</v>
      </c>
      <c r="C501" s="13" t="s">
        <v>66</v>
      </c>
      <c r="D501" s="45" t="s">
        <v>451</v>
      </c>
      <c r="E501" s="13"/>
      <c r="F501" s="14">
        <f t="shared" si="74"/>
        <v>142.3</v>
      </c>
      <c r="G501" s="14">
        <f t="shared" si="74"/>
        <v>117.9</v>
      </c>
      <c r="H501" s="14">
        <f t="shared" si="64"/>
        <v>24.400000000000006</v>
      </c>
      <c r="I501" s="77">
        <f t="shared" si="65"/>
        <v>82.85312719606465</v>
      </c>
      <c r="L501" s="192"/>
      <c r="M501" s="192"/>
      <c r="N501" s="192"/>
      <c r="O501" s="192"/>
      <c r="P501" s="192"/>
      <c r="Q501" s="192"/>
    </row>
    <row r="502" spans="1:17" s="27" customFormat="1" ht="12.75">
      <c r="A502" s="46" t="s">
        <v>204</v>
      </c>
      <c r="B502" s="13" t="s">
        <v>69</v>
      </c>
      <c r="C502" s="13" t="s">
        <v>66</v>
      </c>
      <c r="D502" s="45" t="s">
        <v>452</v>
      </c>
      <c r="E502" s="13"/>
      <c r="F502" s="14">
        <f t="shared" si="74"/>
        <v>142.3</v>
      </c>
      <c r="G502" s="14">
        <f t="shared" si="74"/>
        <v>117.9</v>
      </c>
      <c r="H502" s="14">
        <f t="shared" si="64"/>
        <v>24.400000000000006</v>
      </c>
      <c r="I502" s="77">
        <f t="shared" si="65"/>
        <v>82.85312719606465</v>
      </c>
      <c r="L502" s="192"/>
      <c r="M502" s="192"/>
      <c r="N502" s="192"/>
      <c r="O502" s="192"/>
      <c r="P502" s="192"/>
      <c r="Q502" s="192"/>
    </row>
    <row r="503" spans="1:17" s="27" customFormat="1" ht="25.5">
      <c r="A503" s="46" t="s">
        <v>114</v>
      </c>
      <c r="B503" s="13" t="s">
        <v>69</v>
      </c>
      <c r="C503" s="13" t="s">
        <v>66</v>
      </c>
      <c r="D503" s="45" t="s">
        <v>452</v>
      </c>
      <c r="E503" s="13" t="s">
        <v>115</v>
      </c>
      <c r="F503" s="14">
        <f t="shared" si="74"/>
        <v>142.3</v>
      </c>
      <c r="G503" s="14">
        <f t="shared" si="74"/>
        <v>117.9</v>
      </c>
      <c r="H503" s="14">
        <f t="shared" si="64"/>
        <v>24.400000000000006</v>
      </c>
      <c r="I503" s="77">
        <f t="shared" si="65"/>
        <v>82.85312719606465</v>
      </c>
      <c r="L503" s="192"/>
      <c r="M503" s="192"/>
      <c r="N503" s="192"/>
      <c r="O503" s="192"/>
      <c r="P503" s="192"/>
      <c r="Q503" s="192"/>
    </row>
    <row r="504" spans="1:17" s="27" customFormat="1" ht="12.75">
      <c r="A504" s="46" t="s">
        <v>120</v>
      </c>
      <c r="B504" s="13" t="s">
        <v>69</v>
      </c>
      <c r="C504" s="13" t="s">
        <v>66</v>
      </c>
      <c r="D504" s="45" t="s">
        <v>452</v>
      </c>
      <c r="E504" s="13" t="s">
        <v>121</v>
      </c>
      <c r="F504" s="14">
        <f t="shared" si="74"/>
        <v>142.3</v>
      </c>
      <c r="G504" s="14">
        <f t="shared" si="74"/>
        <v>117.9</v>
      </c>
      <c r="H504" s="14">
        <f t="shared" si="64"/>
        <v>24.400000000000006</v>
      </c>
      <c r="I504" s="77">
        <f t="shared" si="65"/>
        <v>82.85312719606465</v>
      </c>
      <c r="L504" s="192"/>
      <c r="M504" s="192"/>
      <c r="N504" s="192"/>
      <c r="O504" s="192"/>
      <c r="P504" s="192"/>
      <c r="Q504" s="192"/>
    </row>
    <row r="505" spans="1:17" s="27" customFormat="1" ht="12.75">
      <c r="A505" s="46" t="s">
        <v>124</v>
      </c>
      <c r="B505" s="13" t="s">
        <v>69</v>
      </c>
      <c r="C505" s="13" t="s">
        <v>66</v>
      </c>
      <c r="D505" s="45" t="s">
        <v>452</v>
      </c>
      <c r="E505" s="13" t="s">
        <v>125</v>
      </c>
      <c r="F505" s="14">
        <f>'пр. 4 Вед'!G527</f>
        <v>142.3</v>
      </c>
      <c r="G505" s="14">
        <f>'пр. 4 Вед'!H527</f>
        <v>117.9</v>
      </c>
      <c r="H505" s="14">
        <f t="shared" si="64"/>
        <v>24.400000000000006</v>
      </c>
      <c r="I505" s="77">
        <f t="shared" si="65"/>
        <v>82.85312719606465</v>
      </c>
      <c r="L505" s="192"/>
      <c r="M505" s="192"/>
      <c r="N505" s="192"/>
      <c r="O505" s="192"/>
      <c r="P505" s="192"/>
      <c r="Q505" s="192"/>
    </row>
    <row r="506" spans="1:17" s="27" customFormat="1" ht="25.5">
      <c r="A506" s="46" t="s">
        <v>361</v>
      </c>
      <c r="B506" s="13" t="s">
        <v>69</v>
      </c>
      <c r="C506" s="13" t="s">
        <v>66</v>
      </c>
      <c r="D506" s="45" t="s">
        <v>206</v>
      </c>
      <c r="E506" s="13"/>
      <c r="F506" s="14">
        <f>F507</f>
        <v>576.7</v>
      </c>
      <c r="G506" s="14">
        <f>G507</f>
        <v>576.5</v>
      </c>
      <c r="H506" s="14">
        <f t="shared" si="64"/>
        <v>0.20000000000004547</v>
      </c>
      <c r="I506" s="77">
        <f t="shared" si="65"/>
        <v>99.96531992370382</v>
      </c>
      <c r="L506" s="192"/>
      <c r="M506" s="192"/>
      <c r="N506" s="192"/>
      <c r="O506" s="192"/>
      <c r="P506" s="192"/>
      <c r="Q506" s="192"/>
    </row>
    <row r="507" spans="1:17" s="27" customFormat="1" ht="25.5">
      <c r="A507" s="46" t="s">
        <v>290</v>
      </c>
      <c r="B507" s="13" t="s">
        <v>69</v>
      </c>
      <c r="C507" s="13" t="s">
        <v>66</v>
      </c>
      <c r="D507" s="45" t="s">
        <v>453</v>
      </c>
      <c r="E507" s="13"/>
      <c r="F507" s="14">
        <f>F508+F512+F516</f>
        <v>576.7</v>
      </c>
      <c r="G507" s="14">
        <f>G508+G512+G516</f>
        <v>576.5</v>
      </c>
      <c r="H507" s="14">
        <f t="shared" si="64"/>
        <v>0.20000000000004547</v>
      </c>
      <c r="I507" s="77">
        <f t="shared" si="65"/>
        <v>99.96531992370382</v>
      </c>
      <c r="L507" s="192"/>
      <c r="M507" s="192"/>
      <c r="N507" s="192"/>
      <c r="O507" s="192"/>
      <c r="P507" s="192"/>
      <c r="Q507" s="192"/>
    </row>
    <row r="508" spans="1:17" s="27" customFormat="1" ht="12.75">
      <c r="A508" s="46" t="s">
        <v>205</v>
      </c>
      <c r="B508" s="13" t="s">
        <v>69</v>
      </c>
      <c r="C508" s="13" t="s">
        <v>66</v>
      </c>
      <c r="D508" s="45" t="s">
        <v>454</v>
      </c>
      <c r="E508" s="13"/>
      <c r="F508" s="14">
        <f aca="true" t="shared" si="75" ref="F508:G510">F509</f>
        <v>433.6</v>
      </c>
      <c r="G508" s="14">
        <f t="shared" si="75"/>
        <v>433.5</v>
      </c>
      <c r="H508" s="14">
        <f t="shared" si="64"/>
        <v>0.10000000000002274</v>
      </c>
      <c r="I508" s="77">
        <f t="shared" si="65"/>
        <v>99.97693726937268</v>
      </c>
      <c r="L508" s="192"/>
      <c r="M508" s="192"/>
      <c r="N508" s="192"/>
      <c r="O508" s="192"/>
      <c r="P508" s="192"/>
      <c r="Q508" s="192"/>
    </row>
    <row r="509" spans="1:17" s="27" customFormat="1" ht="25.5">
      <c r="A509" s="46" t="s">
        <v>114</v>
      </c>
      <c r="B509" s="13" t="s">
        <v>69</v>
      </c>
      <c r="C509" s="13" t="s">
        <v>66</v>
      </c>
      <c r="D509" s="45" t="s">
        <v>454</v>
      </c>
      <c r="E509" s="13" t="s">
        <v>115</v>
      </c>
      <c r="F509" s="14">
        <f t="shared" si="75"/>
        <v>433.6</v>
      </c>
      <c r="G509" s="14">
        <f t="shared" si="75"/>
        <v>433.5</v>
      </c>
      <c r="H509" s="14">
        <f t="shared" si="64"/>
        <v>0.10000000000002274</v>
      </c>
      <c r="I509" s="77">
        <f t="shared" si="65"/>
        <v>99.97693726937268</v>
      </c>
      <c r="L509" s="192"/>
      <c r="M509" s="192"/>
      <c r="N509" s="192"/>
      <c r="O509" s="192"/>
      <c r="P509" s="192"/>
      <c r="Q509" s="192"/>
    </row>
    <row r="510" spans="1:17" s="27" customFormat="1" ht="12.75">
      <c r="A510" s="46" t="s">
        <v>120</v>
      </c>
      <c r="B510" s="13" t="s">
        <v>69</v>
      </c>
      <c r="C510" s="13" t="s">
        <v>66</v>
      </c>
      <c r="D510" s="45" t="s">
        <v>454</v>
      </c>
      <c r="E510" s="13" t="s">
        <v>121</v>
      </c>
      <c r="F510" s="14">
        <f t="shared" si="75"/>
        <v>433.6</v>
      </c>
      <c r="G510" s="14">
        <f t="shared" si="75"/>
        <v>433.5</v>
      </c>
      <c r="H510" s="14">
        <f t="shared" si="64"/>
        <v>0.10000000000002274</v>
      </c>
      <c r="I510" s="77">
        <f t="shared" si="65"/>
        <v>99.97693726937268</v>
      </c>
      <c r="L510" s="192"/>
      <c r="M510" s="192"/>
      <c r="N510" s="192"/>
      <c r="O510" s="192"/>
      <c r="P510" s="192"/>
      <c r="Q510" s="192"/>
    </row>
    <row r="511" spans="1:17" s="27" customFormat="1" ht="12.75">
      <c r="A511" s="46" t="s">
        <v>124</v>
      </c>
      <c r="B511" s="13" t="s">
        <v>69</v>
      </c>
      <c r="C511" s="13" t="s">
        <v>66</v>
      </c>
      <c r="D511" s="45" t="s">
        <v>454</v>
      </c>
      <c r="E511" s="13" t="s">
        <v>125</v>
      </c>
      <c r="F511" s="14">
        <f>'пр. 4 Вед'!G533</f>
        <v>433.6</v>
      </c>
      <c r="G511" s="14">
        <f>'пр. 4 Вед'!H533</f>
        <v>433.5</v>
      </c>
      <c r="H511" s="14">
        <f t="shared" si="64"/>
        <v>0.10000000000002274</v>
      </c>
      <c r="I511" s="77">
        <f t="shared" si="65"/>
        <v>99.97693726937268</v>
      </c>
      <c r="L511" s="192"/>
      <c r="M511" s="192"/>
      <c r="N511" s="192"/>
      <c r="O511" s="192"/>
      <c r="P511" s="192"/>
      <c r="Q511" s="192"/>
    </row>
    <row r="512" spans="1:17" s="27" customFormat="1" ht="12.75">
      <c r="A512" s="46" t="s">
        <v>384</v>
      </c>
      <c r="B512" s="13" t="s">
        <v>69</v>
      </c>
      <c r="C512" s="13" t="s">
        <v>66</v>
      </c>
      <c r="D512" s="45" t="s">
        <v>455</v>
      </c>
      <c r="E512" s="13"/>
      <c r="F512" s="14">
        <f aca="true" t="shared" si="76" ref="F512:G514">F513</f>
        <v>125.9</v>
      </c>
      <c r="G512" s="14">
        <f t="shared" si="76"/>
        <v>125.9</v>
      </c>
      <c r="H512" s="14">
        <f t="shared" si="64"/>
        <v>0</v>
      </c>
      <c r="I512" s="77">
        <f t="shared" si="65"/>
        <v>100</v>
      </c>
      <c r="L512" s="192"/>
      <c r="M512" s="192"/>
      <c r="N512" s="192"/>
      <c r="O512" s="192"/>
      <c r="P512" s="192"/>
      <c r="Q512" s="192"/>
    </row>
    <row r="513" spans="1:17" s="27" customFormat="1" ht="25.5">
      <c r="A513" s="46" t="s">
        <v>114</v>
      </c>
      <c r="B513" s="13" t="s">
        <v>69</v>
      </c>
      <c r="C513" s="13" t="s">
        <v>66</v>
      </c>
      <c r="D513" s="45" t="s">
        <v>455</v>
      </c>
      <c r="E513" s="13" t="s">
        <v>115</v>
      </c>
      <c r="F513" s="14">
        <f t="shared" si="76"/>
        <v>125.9</v>
      </c>
      <c r="G513" s="14">
        <f t="shared" si="76"/>
        <v>125.9</v>
      </c>
      <c r="H513" s="14">
        <f t="shared" si="64"/>
        <v>0</v>
      </c>
      <c r="I513" s="77">
        <f t="shared" si="65"/>
        <v>100</v>
      </c>
      <c r="L513" s="192"/>
      <c r="M513" s="192"/>
      <c r="N513" s="192"/>
      <c r="O513" s="192"/>
      <c r="P513" s="192"/>
      <c r="Q513" s="192"/>
    </row>
    <row r="514" spans="1:17" s="27" customFormat="1" ht="12.75">
      <c r="A514" s="46" t="s">
        <v>120</v>
      </c>
      <c r="B514" s="13" t="s">
        <v>69</v>
      </c>
      <c r="C514" s="13" t="s">
        <v>66</v>
      </c>
      <c r="D514" s="45" t="s">
        <v>455</v>
      </c>
      <c r="E514" s="13" t="s">
        <v>121</v>
      </c>
      <c r="F514" s="14">
        <f t="shared" si="76"/>
        <v>125.9</v>
      </c>
      <c r="G514" s="14">
        <f t="shared" si="76"/>
        <v>125.9</v>
      </c>
      <c r="H514" s="14">
        <f t="shared" si="64"/>
        <v>0</v>
      </c>
      <c r="I514" s="77">
        <f t="shared" si="65"/>
        <v>100</v>
      </c>
      <c r="L514" s="192"/>
      <c r="M514" s="192"/>
      <c r="N514" s="192"/>
      <c r="O514" s="192"/>
      <c r="P514" s="192"/>
      <c r="Q514" s="192"/>
    </row>
    <row r="515" spans="1:17" s="27" customFormat="1" ht="12.75">
      <c r="A515" s="46" t="s">
        <v>124</v>
      </c>
      <c r="B515" s="13" t="s">
        <v>69</v>
      </c>
      <c r="C515" s="13" t="s">
        <v>66</v>
      </c>
      <c r="D515" s="45" t="s">
        <v>455</v>
      </c>
      <c r="E515" s="13" t="s">
        <v>125</v>
      </c>
      <c r="F515" s="14">
        <f>'пр. 4 Вед'!G537</f>
        <v>125.9</v>
      </c>
      <c r="G515" s="14">
        <f>'пр. 4 Вед'!H537</f>
        <v>125.9</v>
      </c>
      <c r="H515" s="14">
        <f t="shared" si="64"/>
        <v>0</v>
      </c>
      <c r="I515" s="77">
        <f t="shared" si="65"/>
        <v>100</v>
      </c>
      <c r="L515" s="192"/>
      <c r="M515" s="192"/>
      <c r="N515" s="192"/>
      <c r="O515" s="192"/>
      <c r="P515" s="192"/>
      <c r="Q515" s="192"/>
    </row>
    <row r="516" spans="1:17" s="27" customFormat="1" ht="25.5">
      <c r="A516" s="46" t="s">
        <v>207</v>
      </c>
      <c r="B516" s="13" t="s">
        <v>69</v>
      </c>
      <c r="C516" s="13" t="s">
        <v>66</v>
      </c>
      <c r="D516" s="45" t="s">
        <v>456</v>
      </c>
      <c r="E516" s="13"/>
      <c r="F516" s="14">
        <f aca="true" t="shared" si="77" ref="F516:G518">F517</f>
        <v>17.2</v>
      </c>
      <c r="G516" s="14">
        <f t="shared" si="77"/>
        <v>17.1</v>
      </c>
      <c r="H516" s="14">
        <f t="shared" si="64"/>
        <v>0.09999999999999787</v>
      </c>
      <c r="I516" s="77">
        <f t="shared" si="65"/>
        <v>99.4186046511628</v>
      </c>
      <c r="L516" s="192"/>
      <c r="M516" s="192"/>
      <c r="N516" s="192"/>
      <c r="O516" s="192"/>
      <c r="P516" s="192"/>
      <c r="Q516" s="192"/>
    </row>
    <row r="517" spans="1:17" s="27" customFormat="1" ht="25.5">
      <c r="A517" s="46" t="s">
        <v>114</v>
      </c>
      <c r="B517" s="13" t="s">
        <v>69</v>
      </c>
      <c r="C517" s="13" t="s">
        <v>66</v>
      </c>
      <c r="D517" s="45" t="s">
        <v>456</v>
      </c>
      <c r="E517" s="13" t="s">
        <v>115</v>
      </c>
      <c r="F517" s="14">
        <f t="shared" si="77"/>
        <v>17.2</v>
      </c>
      <c r="G517" s="14">
        <f t="shared" si="77"/>
        <v>17.1</v>
      </c>
      <c r="H517" s="14">
        <f t="shared" si="64"/>
        <v>0.09999999999999787</v>
      </c>
      <c r="I517" s="77">
        <f t="shared" si="65"/>
        <v>99.4186046511628</v>
      </c>
      <c r="L517" s="192"/>
      <c r="M517" s="192"/>
      <c r="N517" s="192"/>
      <c r="O517" s="192"/>
      <c r="P517" s="192"/>
      <c r="Q517" s="192"/>
    </row>
    <row r="518" spans="1:17" s="27" customFormat="1" ht="12.75">
      <c r="A518" s="46" t="s">
        <v>120</v>
      </c>
      <c r="B518" s="13" t="s">
        <v>69</v>
      </c>
      <c r="C518" s="13" t="s">
        <v>66</v>
      </c>
      <c r="D518" s="45" t="s">
        <v>456</v>
      </c>
      <c r="E518" s="13" t="s">
        <v>121</v>
      </c>
      <c r="F518" s="14">
        <f t="shared" si="77"/>
        <v>17.2</v>
      </c>
      <c r="G518" s="14">
        <f t="shared" si="77"/>
        <v>17.1</v>
      </c>
      <c r="H518" s="14">
        <f t="shared" si="64"/>
        <v>0.09999999999999787</v>
      </c>
      <c r="I518" s="77">
        <f t="shared" si="65"/>
        <v>99.4186046511628</v>
      </c>
      <c r="L518" s="192"/>
      <c r="M518" s="192"/>
      <c r="N518" s="192"/>
      <c r="O518" s="192"/>
      <c r="P518" s="192"/>
      <c r="Q518" s="192"/>
    </row>
    <row r="519" spans="1:17" s="27" customFormat="1" ht="12.75">
      <c r="A519" s="46" t="s">
        <v>124</v>
      </c>
      <c r="B519" s="13" t="s">
        <v>69</v>
      </c>
      <c r="C519" s="13" t="s">
        <v>66</v>
      </c>
      <c r="D519" s="45" t="s">
        <v>456</v>
      </c>
      <c r="E519" s="13" t="s">
        <v>125</v>
      </c>
      <c r="F519" s="14">
        <f>'пр. 4 Вед'!G541</f>
        <v>17.2</v>
      </c>
      <c r="G519" s="14">
        <f>'пр. 4 Вед'!H541</f>
        <v>17.1</v>
      </c>
      <c r="H519" s="14">
        <f t="shared" si="64"/>
        <v>0.09999999999999787</v>
      </c>
      <c r="I519" s="77">
        <f t="shared" si="65"/>
        <v>99.4186046511628</v>
      </c>
      <c r="L519" s="192"/>
      <c r="M519" s="192"/>
      <c r="N519" s="192"/>
      <c r="O519" s="192"/>
      <c r="P519" s="192"/>
      <c r="Q519" s="192"/>
    </row>
    <row r="520" spans="1:17" s="27" customFormat="1" ht="12.75">
      <c r="A520" s="46" t="s">
        <v>503</v>
      </c>
      <c r="B520" s="13" t="s">
        <v>69</v>
      </c>
      <c r="C520" s="13" t="s">
        <v>66</v>
      </c>
      <c r="D520" s="13" t="s">
        <v>252</v>
      </c>
      <c r="E520" s="13"/>
      <c r="F520" s="14">
        <f>F521</f>
        <v>1680</v>
      </c>
      <c r="G520" s="14">
        <f>G521</f>
        <v>1558</v>
      </c>
      <c r="H520" s="14">
        <f t="shared" si="64"/>
        <v>122</v>
      </c>
      <c r="I520" s="77">
        <f t="shared" si="65"/>
        <v>92.73809523809524</v>
      </c>
      <c r="L520" s="192"/>
      <c r="M520" s="192"/>
      <c r="N520" s="192"/>
      <c r="O520" s="192"/>
      <c r="P520" s="192"/>
      <c r="Q520" s="192"/>
    </row>
    <row r="521" spans="1:17" s="27" customFormat="1" ht="12.75">
      <c r="A521" s="46" t="s">
        <v>506</v>
      </c>
      <c r="B521" s="13" t="s">
        <v>69</v>
      </c>
      <c r="C521" s="13" t="s">
        <v>66</v>
      </c>
      <c r="D521" s="13" t="s">
        <v>501</v>
      </c>
      <c r="E521" s="13"/>
      <c r="F521" s="14">
        <f>F522+F526</f>
        <v>1680</v>
      </c>
      <c r="G521" s="14">
        <f>G522+G526</f>
        <v>1558</v>
      </c>
      <c r="H521" s="14">
        <f aca="true" t="shared" si="78" ref="H521:H584">F521-G521</f>
        <v>122</v>
      </c>
      <c r="I521" s="77">
        <f aca="true" t="shared" si="79" ref="I521:I584">G521/F521*100</f>
        <v>92.73809523809524</v>
      </c>
      <c r="L521" s="192"/>
      <c r="M521" s="192"/>
      <c r="N521" s="192"/>
      <c r="O521" s="192"/>
      <c r="P521" s="192"/>
      <c r="Q521" s="192"/>
    </row>
    <row r="522" spans="1:17" s="27" customFormat="1" ht="38.25">
      <c r="A522" s="46" t="s">
        <v>271</v>
      </c>
      <c r="B522" s="13" t="s">
        <v>69</v>
      </c>
      <c r="C522" s="13" t="s">
        <v>66</v>
      </c>
      <c r="D522" s="13" t="s">
        <v>502</v>
      </c>
      <c r="E522" s="13"/>
      <c r="F522" s="14">
        <f aca="true" t="shared" si="80" ref="F522:G524">F523</f>
        <v>1610</v>
      </c>
      <c r="G522" s="14">
        <f t="shared" si="80"/>
        <v>1502.4</v>
      </c>
      <c r="H522" s="14">
        <f t="shared" si="78"/>
        <v>107.59999999999991</v>
      </c>
      <c r="I522" s="77">
        <f t="shared" si="79"/>
        <v>93.3167701863354</v>
      </c>
      <c r="L522" s="192"/>
      <c r="M522" s="192"/>
      <c r="N522" s="192"/>
      <c r="O522" s="192"/>
      <c r="P522" s="192"/>
      <c r="Q522" s="192"/>
    </row>
    <row r="523" spans="1:17" s="27" customFormat="1" ht="25.5">
      <c r="A523" s="46" t="s">
        <v>114</v>
      </c>
      <c r="B523" s="13" t="s">
        <v>69</v>
      </c>
      <c r="C523" s="13" t="s">
        <v>66</v>
      </c>
      <c r="D523" s="13" t="s">
        <v>502</v>
      </c>
      <c r="E523" s="13" t="s">
        <v>115</v>
      </c>
      <c r="F523" s="14">
        <f t="shared" si="80"/>
        <v>1610</v>
      </c>
      <c r="G523" s="14">
        <f t="shared" si="80"/>
        <v>1502.4</v>
      </c>
      <c r="H523" s="14">
        <f t="shared" si="78"/>
        <v>107.59999999999991</v>
      </c>
      <c r="I523" s="77">
        <f t="shared" si="79"/>
        <v>93.3167701863354</v>
      </c>
      <c r="L523" s="192"/>
      <c r="M523" s="192"/>
      <c r="N523" s="192"/>
      <c r="O523" s="192"/>
      <c r="P523" s="192"/>
      <c r="Q523" s="192"/>
    </row>
    <row r="524" spans="1:17" s="27" customFormat="1" ht="12.75">
      <c r="A524" s="46" t="s">
        <v>120</v>
      </c>
      <c r="B524" s="13" t="s">
        <v>69</v>
      </c>
      <c r="C524" s="13" t="s">
        <v>66</v>
      </c>
      <c r="D524" s="13" t="s">
        <v>502</v>
      </c>
      <c r="E524" s="13" t="s">
        <v>121</v>
      </c>
      <c r="F524" s="14">
        <f t="shared" si="80"/>
        <v>1610</v>
      </c>
      <c r="G524" s="14">
        <f t="shared" si="80"/>
        <v>1502.4</v>
      </c>
      <c r="H524" s="14">
        <f t="shared" si="78"/>
        <v>107.59999999999991</v>
      </c>
      <c r="I524" s="77">
        <f t="shared" si="79"/>
        <v>93.3167701863354</v>
      </c>
      <c r="L524" s="192"/>
      <c r="M524" s="192"/>
      <c r="N524" s="192"/>
      <c r="O524" s="192"/>
      <c r="P524" s="192"/>
      <c r="Q524" s="192"/>
    </row>
    <row r="525" spans="1:17" s="27" customFormat="1" ht="12.75">
      <c r="A525" s="46" t="s">
        <v>124</v>
      </c>
      <c r="B525" s="13" t="s">
        <v>69</v>
      </c>
      <c r="C525" s="13" t="s">
        <v>66</v>
      </c>
      <c r="D525" s="13" t="s">
        <v>502</v>
      </c>
      <c r="E525" s="13" t="s">
        <v>125</v>
      </c>
      <c r="F525" s="14">
        <f>'пр. 4 Вед'!G547</f>
        <v>1610</v>
      </c>
      <c r="G525" s="14">
        <f>'пр. 4 Вед'!H547</f>
        <v>1502.4</v>
      </c>
      <c r="H525" s="14">
        <f t="shared" si="78"/>
        <v>107.59999999999991</v>
      </c>
      <c r="I525" s="77">
        <f t="shared" si="79"/>
        <v>93.3167701863354</v>
      </c>
      <c r="L525" s="192"/>
      <c r="M525" s="192"/>
      <c r="N525" s="192"/>
      <c r="O525" s="192"/>
      <c r="P525" s="192"/>
      <c r="Q525" s="192"/>
    </row>
    <row r="526" spans="1:17" s="27" customFormat="1" ht="12.75">
      <c r="A526" s="46" t="s">
        <v>272</v>
      </c>
      <c r="B526" s="13" t="s">
        <v>69</v>
      </c>
      <c r="C526" s="13" t="s">
        <v>66</v>
      </c>
      <c r="D526" s="13" t="s">
        <v>505</v>
      </c>
      <c r="E526" s="13"/>
      <c r="F526" s="14">
        <f aca="true" t="shared" si="81" ref="F526:G528">F527</f>
        <v>70</v>
      </c>
      <c r="G526" s="14">
        <f t="shared" si="81"/>
        <v>55.6</v>
      </c>
      <c r="H526" s="14">
        <f t="shared" si="78"/>
        <v>14.399999999999999</v>
      </c>
      <c r="I526" s="77">
        <f t="shared" si="79"/>
        <v>79.42857142857143</v>
      </c>
      <c r="L526" s="192"/>
      <c r="M526" s="192"/>
      <c r="N526" s="192"/>
      <c r="O526" s="192"/>
      <c r="P526" s="192"/>
      <c r="Q526" s="192"/>
    </row>
    <row r="527" spans="1:17" s="27" customFormat="1" ht="25.5">
      <c r="A527" s="46" t="s">
        <v>114</v>
      </c>
      <c r="B527" s="13" t="s">
        <v>69</v>
      </c>
      <c r="C527" s="13" t="s">
        <v>66</v>
      </c>
      <c r="D527" s="13" t="s">
        <v>505</v>
      </c>
      <c r="E527" s="13" t="s">
        <v>115</v>
      </c>
      <c r="F527" s="14">
        <f t="shared" si="81"/>
        <v>70</v>
      </c>
      <c r="G527" s="14">
        <f t="shared" si="81"/>
        <v>55.6</v>
      </c>
      <c r="H527" s="14">
        <f t="shared" si="78"/>
        <v>14.399999999999999</v>
      </c>
      <c r="I527" s="77">
        <f t="shared" si="79"/>
        <v>79.42857142857143</v>
      </c>
      <c r="L527" s="192"/>
      <c r="M527" s="192"/>
      <c r="N527" s="192"/>
      <c r="O527" s="192"/>
      <c r="P527" s="192"/>
      <c r="Q527" s="192"/>
    </row>
    <row r="528" spans="1:17" s="27" customFormat="1" ht="12.75">
      <c r="A528" s="46" t="s">
        <v>120</v>
      </c>
      <c r="B528" s="13" t="s">
        <v>69</v>
      </c>
      <c r="C528" s="13" t="s">
        <v>66</v>
      </c>
      <c r="D528" s="13" t="s">
        <v>505</v>
      </c>
      <c r="E528" s="13" t="s">
        <v>121</v>
      </c>
      <c r="F528" s="14">
        <f t="shared" si="81"/>
        <v>70</v>
      </c>
      <c r="G528" s="14">
        <f t="shared" si="81"/>
        <v>55.6</v>
      </c>
      <c r="H528" s="14">
        <f t="shared" si="78"/>
        <v>14.399999999999999</v>
      </c>
      <c r="I528" s="77">
        <f t="shared" si="79"/>
        <v>79.42857142857143</v>
      </c>
      <c r="L528" s="192"/>
      <c r="M528" s="192"/>
      <c r="N528" s="192"/>
      <c r="O528" s="192"/>
      <c r="P528" s="192"/>
      <c r="Q528" s="192"/>
    </row>
    <row r="529" spans="1:17" s="27" customFormat="1" ht="12.75">
      <c r="A529" s="46" t="s">
        <v>124</v>
      </c>
      <c r="B529" s="13" t="s">
        <v>69</v>
      </c>
      <c r="C529" s="13" t="s">
        <v>66</v>
      </c>
      <c r="D529" s="13" t="s">
        <v>505</v>
      </c>
      <c r="E529" s="13" t="s">
        <v>125</v>
      </c>
      <c r="F529" s="14">
        <f>'пр. 4 Вед'!G551</f>
        <v>70</v>
      </c>
      <c r="G529" s="14">
        <f>'пр. 4 Вед'!H551</f>
        <v>55.6</v>
      </c>
      <c r="H529" s="14">
        <f t="shared" si="78"/>
        <v>14.399999999999999</v>
      </c>
      <c r="I529" s="77">
        <f t="shared" si="79"/>
        <v>79.42857142857143</v>
      </c>
      <c r="L529" s="192"/>
      <c r="M529" s="192"/>
      <c r="N529" s="192"/>
      <c r="O529" s="192"/>
      <c r="P529" s="192"/>
      <c r="Q529" s="192"/>
    </row>
    <row r="530" spans="1:17" s="27" customFormat="1" ht="12.75">
      <c r="A530" s="46" t="s">
        <v>59</v>
      </c>
      <c r="B530" s="13" t="s">
        <v>69</v>
      </c>
      <c r="C530" s="13" t="s">
        <v>66</v>
      </c>
      <c r="D530" s="13" t="s">
        <v>263</v>
      </c>
      <c r="E530" s="13"/>
      <c r="F530" s="14">
        <f aca="true" t="shared" si="82" ref="F530:G533">F531</f>
        <v>11240.5</v>
      </c>
      <c r="G530" s="14">
        <f t="shared" si="82"/>
        <v>10789.4</v>
      </c>
      <c r="H530" s="14">
        <f t="shared" si="78"/>
        <v>451.10000000000036</v>
      </c>
      <c r="I530" s="77">
        <f t="shared" si="79"/>
        <v>95.98683332591966</v>
      </c>
      <c r="L530" s="192"/>
      <c r="M530" s="192"/>
      <c r="N530" s="192"/>
      <c r="O530" s="192"/>
      <c r="P530" s="192"/>
      <c r="Q530" s="192"/>
    </row>
    <row r="531" spans="1:17" s="27" customFormat="1" ht="25.5">
      <c r="A531" s="46" t="s">
        <v>289</v>
      </c>
      <c r="B531" s="13" t="s">
        <v>69</v>
      </c>
      <c r="C531" s="13" t="s">
        <v>66</v>
      </c>
      <c r="D531" s="13" t="s">
        <v>512</v>
      </c>
      <c r="E531" s="13"/>
      <c r="F531" s="14">
        <f t="shared" si="82"/>
        <v>11240.5</v>
      </c>
      <c r="G531" s="14">
        <f t="shared" si="82"/>
        <v>10789.4</v>
      </c>
      <c r="H531" s="14">
        <f t="shared" si="78"/>
        <v>451.10000000000036</v>
      </c>
      <c r="I531" s="77">
        <f t="shared" si="79"/>
        <v>95.98683332591966</v>
      </c>
      <c r="L531" s="192"/>
      <c r="M531" s="192"/>
      <c r="N531" s="192"/>
      <c r="O531" s="192"/>
      <c r="P531" s="192"/>
      <c r="Q531" s="192"/>
    </row>
    <row r="532" spans="1:17" s="27" customFormat="1" ht="12.75">
      <c r="A532" s="46" t="s">
        <v>288</v>
      </c>
      <c r="B532" s="13" t="s">
        <v>69</v>
      </c>
      <c r="C532" s="13" t="s">
        <v>66</v>
      </c>
      <c r="D532" s="13" t="s">
        <v>513</v>
      </c>
      <c r="E532" s="13"/>
      <c r="F532" s="14">
        <f t="shared" si="82"/>
        <v>11240.5</v>
      </c>
      <c r="G532" s="14">
        <f t="shared" si="82"/>
        <v>10789.4</v>
      </c>
      <c r="H532" s="14">
        <f t="shared" si="78"/>
        <v>451.10000000000036</v>
      </c>
      <c r="I532" s="77">
        <f t="shared" si="79"/>
        <v>95.98683332591966</v>
      </c>
      <c r="L532" s="192"/>
      <c r="M532" s="192"/>
      <c r="N532" s="192"/>
      <c r="O532" s="192"/>
      <c r="P532" s="192"/>
      <c r="Q532" s="192"/>
    </row>
    <row r="533" spans="1:17" s="27" customFormat="1" ht="25.5">
      <c r="A533" s="46" t="s">
        <v>114</v>
      </c>
      <c r="B533" s="13" t="s">
        <v>69</v>
      </c>
      <c r="C533" s="13" t="s">
        <v>66</v>
      </c>
      <c r="D533" s="13" t="s">
        <v>513</v>
      </c>
      <c r="E533" s="13" t="s">
        <v>115</v>
      </c>
      <c r="F533" s="14">
        <f t="shared" si="82"/>
        <v>11240.5</v>
      </c>
      <c r="G533" s="14">
        <f t="shared" si="82"/>
        <v>10789.4</v>
      </c>
      <c r="H533" s="14">
        <f t="shared" si="78"/>
        <v>451.10000000000036</v>
      </c>
      <c r="I533" s="77">
        <f t="shared" si="79"/>
        <v>95.98683332591966</v>
      </c>
      <c r="L533" s="192"/>
      <c r="M533" s="192"/>
      <c r="N533" s="192"/>
      <c r="O533" s="192"/>
      <c r="P533" s="192"/>
      <c r="Q533" s="192"/>
    </row>
    <row r="534" spans="1:17" s="27" customFormat="1" ht="12.75">
      <c r="A534" s="46" t="s">
        <v>120</v>
      </c>
      <c r="B534" s="13" t="s">
        <v>69</v>
      </c>
      <c r="C534" s="13" t="s">
        <v>66</v>
      </c>
      <c r="D534" s="13" t="s">
        <v>513</v>
      </c>
      <c r="E534" s="13" t="s">
        <v>121</v>
      </c>
      <c r="F534" s="14">
        <f>F535+F536</f>
        <v>11240.5</v>
      </c>
      <c r="G534" s="14">
        <f>G535+G536</f>
        <v>10789.4</v>
      </c>
      <c r="H534" s="14">
        <f t="shared" si="78"/>
        <v>451.10000000000036</v>
      </c>
      <c r="I534" s="77">
        <f t="shared" si="79"/>
        <v>95.98683332591966</v>
      </c>
      <c r="L534" s="192"/>
      <c r="M534" s="192"/>
      <c r="N534" s="192"/>
      <c r="O534" s="192"/>
      <c r="P534" s="192"/>
      <c r="Q534" s="192"/>
    </row>
    <row r="535" spans="1:17" s="27" customFormat="1" ht="38.25">
      <c r="A535" s="46" t="s">
        <v>122</v>
      </c>
      <c r="B535" s="13" t="s">
        <v>69</v>
      </c>
      <c r="C535" s="13" t="s">
        <v>66</v>
      </c>
      <c r="D535" s="13" t="s">
        <v>513</v>
      </c>
      <c r="E535" s="13" t="s">
        <v>123</v>
      </c>
      <c r="F535" s="14">
        <f>'пр. 4 Вед'!G557</f>
        <v>10371.5</v>
      </c>
      <c r="G535" s="14">
        <f>'пр. 4 Вед'!H557</f>
        <v>9920.4</v>
      </c>
      <c r="H535" s="14">
        <f t="shared" si="78"/>
        <v>451.10000000000036</v>
      </c>
      <c r="I535" s="77">
        <f t="shared" si="79"/>
        <v>95.6505809188642</v>
      </c>
      <c r="L535" s="192"/>
      <c r="M535" s="192"/>
      <c r="N535" s="192"/>
      <c r="O535" s="192"/>
      <c r="P535" s="192"/>
      <c r="Q535" s="192"/>
    </row>
    <row r="536" spans="1:17" s="27" customFormat="1" ht="12.75">
      <c r="A536" s="46" t="s">
        <v>124</v>
      </c>
      <c r="B536" s="13" t="s">
        <v>69</v>
      </c>
      <c r="C536" s="13" t="s">
        <v>66</v>
      </c>
      <c r="D536" s="13" t="s">
        <v>513</v>
      </c>
      <c r="E536" s="13" t="s">
        <v>125</v>
      </c>
      <c r="F536" s="14">
        <f>'пр. 4 Вед'!G558</f>
        <v>869</v>
      </c>
      <c r="G536" s="14">
        <f>'пр. 4 Вед'!H558</f>
        <v>869</v>
      </c>
      <c r="H536" s="14">
        <f t="shared" si="78"/>
        <v>0</v>
      </c>
      <c r="I536" s="77">
        <f t="shared" si="79"/>
        <v>100</v>
      </c>
      <c r="L536" s="192"/>
      <c r="M536" s="192"/>
      <c r="N536" s="192"/>
      <c r="O536" s="192"/>
      <c r="P536" s="192"/>
      <c r="Q536" s="192"/>
    </row>
    <row r="537" spans="1:17" s="27" customFormat="1" ht="12.75">
      <c r="A537" s="60" t="s">
        <v>10</v>
      </c>
      <c r="B537" s="29" t="s">
        <v>69</v>
      </c>
      <c r="C537" s="29" t="s">
        <v>67</v>
      </c>
      <c r="D537" s="29"/>
      <c r="E537" s="29"/>
      <c r="F537" s="30">
        <f>F538+F577+F599+F617+F639+F649+F656</f>
        <v>200847.8</v>
      </c>
      <c r="G537" s="30">
        <f>G538+G577+G599+G617+G639+G649+G656</f>
        <v>195936.1</v>
      </c>
      <c r="H537" s="30">
        <f t="shared" si="78"/>
        <v>4911.6999999999825</v>
      </c>
      <c r="I537" s="82">
        <f t="shared" si="79"/>
        <v>97.55451640495939</v>
      </c>
      <c r="L537" s="192"/>
      <c r="M537" s="192"/>
      <c r="N537" s="192"/>
      <c r="O537" s="192"/>
      <c r="P537" s="192"/>
      <c r="Q537" s="192"/>
    </row>
    <row r="538" spans="1:17" s="27" customFormat="1" ht="25.5">
      <c r="A538" s="46" t="s">
        <v>309</v>
      </c>
      <c r="B538" s="13" t="s">
        <v>69</v>
      </c>
      <c r="C538" s="13" t="s">
        <v>67</v>
      </c>
      <c r="D538" s="13" t="s">
        <v>310</v>
      </c>
      <c r="E538" s="29"/>
      <c r="F538" s="14">
        <f>F539+F555+F549</f>
        <v>119439.50000000001</v>
      </c>
      <c r="G538" s="14">
        <f>G539+G555+G549</f>
        <v>117068.80000000002</v>
      </c>
      <c r="H538" s="14">
        <f t="shared" si="78"/>
        <v>2370.699999999997</v>
      </c>
      <c r="I538" s="77">
        <f t="shared" si="79"/>
        <v>98.0151457432424</v>
      </c>
      <c r="L538" s="192"/>
      <c r="M538" s="192"/>
      <c r="N538" s="192"/>
      <c r="O538" s="192"/>
      <c r="P538" s="192"/>
      <c r="Q538" s="192"/>
    </row>
    <row r="539" spans="1:17" s="27" customFormat="1" ht="12.75">
      <c r="A539" s="46" t="s">
        <v>164</v>
      </c>
      <c r="B539" s="13" t="s">
        <v>69</v>
      </c>
      <c r="C539" s="13" t="s">
        <v>67</v>
      </c>
      <c r="D539" s="13" t="s">
        <v>335</v>
      </c>
      <c r="E539" s="29"/>
      <c r="F539" s="14">
        <f>F540</f>
        <v>2392.4</v>
      </c>
      <c r="G539" s="14">
        <f>G540</f>
        <v>1580</v>
      </c>
      <c r="H539" s="14">
        <f t="shared" si="78"/>
        <v>812.4000000000001</v>
      </c>
      <c r="I539" s="77">
        <f t="shared" si="79"/>
        <v>66.0424678147467</v>
      </c>
      <c r="L539" s="192"/>
      <c r="M539" s="192"/>
      <c r="N539" s="192"/>
      <c r="O539" s="192"/>
      <c r="P539" s="192"/>
      <c r="Q539" s="192"/>
    </row>
    <row r="540" spans="1:17" s="27" customFormat="1" ht="25.5">
      <c r="A540" s="46" t="s">
        <v>336</v>
      </c>
      <c r="B540" s="13" t="s">
        <v>69</v>
      </c>
      <c r="C540" s="13" t="s">
        <v>67</v>
      </c>
      <c r="D540" s="13" t="s">
        <v>337</v>
      </c>
      <c r="E540" s="29"/>
      <c r="F540" s="14">
        <f>F545+F541</f>
        <v>2392.4</v>
      </c>
      <c r="G540" s="14">
        <f>G545+G541</f>
        <v>1580</v>
      </c>
      <c r="H540" s="14">
        <f t="shared" si="78"/>
        <v>812.4000000000001</v>
      </c>
      <c r="I540" s="77">
        <f t="shared" si="79"/>
        <v>66.0424678147467</v>
      </c>
      <c r="L540" s="192"/>
      <c r="M540" s="192"/>
      <c r="N540" s="192"/>
      <c r="O540" s="192"/>
      <c r="P540" s="192"/>
      <c r="Q540" s="192"/>
    </row>
    <row r="541" spans="1:17" s="27" customFormat="1" ht="25.5">
      <c r="A541" s="46" t="s">
        <v>391</v>
      </c>
      <c r="B541" s="13" t="s">
        <v>69</v>
      </c>
      <c r="C541" s="13" t="s">
        <v>67</v>
      </c>
      <c r="D541" s="13" t="s">
        <v>568</v>
      </c>
      <c r="E541" s="29"/>
      <c r="F541" s="14">
        <f aca="true" t="shared" si="83" ref="F541:G543">F542</f>
        <v>680</v>
      </c>
      <c r="G541" s="14">
        <f t="shared" si="83"/>
        <v>400</v>
      </c>
      <c r="H541" s="14">
        <f t="shared" si="78"/>
        <v>280</v>
      </c>
      <c r="I541" s="77">
        <f t="shared" si="79"/>
        <v>58.82352941176471</v>
      </c>
      <c r="L541" s="192"/>
      <c r="M541" s="192"/>
      <c r="N541" s="192"/>
      <c r="O541" s="192"/>
      <c r="P541" s="192"/>
      <c r="Q541" s="192"/>
    </row>
    <row r="542" spans="1:17" s="27" customFormat="1" ht="25.5">
      <c r="A542" s="46" t="s">
        <v>114</v>
      </c>
      <c r="B542" s="13" t="s">
        <v>69</v>
      </c>
      <c r="C542" s="13" t="s">
        <v>67</v>
      </c>
      <c r="D542" s="13" t="s">
        <v>568</v>
      </c>
      <c r="E542" s="13" t="s">
        <v>115</v>
      </c>
      <c r="F542" s="14">
        <f t="shared" si="83"/>
        <v>680</v>
      </c>
      <c r="G542" s="14">
        <f t="shared" si="83"/>
        <v>400</v>
      </c>
      <c r="H542" s="14">
        <f t="shared" si="78"/>
        <v>280</v>
      </c>
      <c r="I542" s="77">
        <f t="shared" si="79"/>
        <v>58.82352941176471</v>
      </c>
      <c r="L542" s="192"/>
      <c r="M542" s="192"/>
      <c r="N542" s="192"/>
      <c r="O542" s="192"/>
      <c r="P542" s="192"/>
      <c r="Q542" s="192"/>
    </row>
    <row r="543" spans="1:17" s="27" customFormat="1" ht="12.75">
      <c r="A543" s="46" t="s">
        <v>120</v>
      </c>
      <c r="B543" s="13" t="s">
        <v>69</v>
      </c>
      <c r="C543" s="13" t="s">
        <v>67</v>
      </c>
      <c r="D543" s="13" t="s">
        <v>568</v>
      </c>
      <c r="E543" s="13" t="s">
        <v>121</v>
      </c>
      <c r="F543" s="14">
        <f t="shared" si="83"/>
        <v>680</v>
      </c>
      <c r="G543" s="14">
        <f t="shared" si="83"/>
        <v>400</v>
      </c>
      <c r="H543" s="14">
        <f t="shared" si="78"/>
        <v>280</v>
      </c>
      <c r="I543" s="77">
        <f t="shared" si="79"/>
        <v>58.82352941176471</v>
      </c>
      <c r="L543" s="192"/>
      <c r="M543" s="192"/>
      <c r="N543" s="192"/>
      <c r="O543" s="192"/>
      <c r="P543" s="192"/>
      <c r="Q543" s="192"/>
    </row>
    <row r="544" spans="1:17" s="27" customFormat="1" ht="12.75">
      <c r="A544" s="46" t="s">
        <v>124</v>
      </c>
      <c r="B544" s="13" t="s">
        <v>69</v>
      </c>
      <c r="C544" s="13" t="s">
        <v>67</v>
      </c>
      <c r="D544" s="13" t="s">
        <v>568</v>
      </c>
      <c r="E544" s="13" t="s">
        <v>125</v>
      </c>
      <c r="F544" s="14">
        <f>'пр. 4 Вед'!G566</f>
        <v>680</v>
      </c>
      <c r="G544" s="14">
        <f>'пр. 4 Вед'!H566</f>
        <v>400</v>
      </c>
      <c r="H544" s="14">
        <f t="shared" si="78"/>
        <v>280</v>
      </c>
      <c r="I544" s="77">
        <f t="shared" si="79"/>
        <v>58.82352941176471</v>
      </c>
      <c r="L544" s="192"/>
      <c r="M544" s="192"/>
      <c r="N544" s="192"/>
      <c r="O544" s="192"/>
      <c r="P544" s="192"/>
      <c r="Q544" s="192"/>
    </row>
    <row r="545" spans="1:17" s="27" customFormat="1" ht="25.5">
      <c r="A545" s="46" t="s">
        <v>396</v>
      </c>
      <c r="B545" s="13" t="s">
        <v>69</v>
      </c>
      <c r="C545" s="13" t="s">
        <v>67</v>
      </c>
      <c r="D545" s="13" t="s">
        <v>338</v>
      </c>
      <c r="E545" s="29"/>
      <c r="F545" s="14">
        <f aca="true" t="shared" si="84" ref="F545:G547">F546</f>
        <v>1712.4</v>
      </c>
      <c r="G545" s="14">
        <f t="shared" si="84"/>
        <v>1180</v>
      </c>
      <c r="H545" s="14">
        <f t="shared" si="78"/>
        <v>532.4000000000001</v>
      </c>
      <c r="I545" s="77">
        <f t="shared" si="79"/>
        <v>68.90913338005139</v>
      </c>
      <c r="L545" s="192"/>
      <c r="M545" s="192"/>
      <c r="N545" s="192"/>
      <c r="O545" s="192"/>
      <c r="P545" s="192"/>
      <c r="Q545" s="192"/>
    </row>
    <row r="546" spans="1:17" s="27" customFormat="1" ht="25.5">
      <c r="A546" s="46" t="s">
        <v>114</v>
      </c>
      <c r="B546" s="13" t="s">
        <v>69</v>
      </c>
      <c r="C546" s="13" t="s">
        <v>67</v>
      </c>
      <c r="D546" s="13" t="s">
        <v>338</v>
      </c>
      <c r="E546" s="13" t="s">
        <v>115</v>
      </c>
      <c r="F546" s="14">
        <f t="shared" si="84"/>
        <v>1712.4</v>
      </c>
      <c r="G546" s="14">
        <f t="shared" si="84"/>
        <v>1180</v>
      </c>
      <c r="H546" s="14">
        <f t="shared" si="78"/>
        <v>532.4000000000001</v>
      </c>
      <c r="I546" s="77">
        <f t="shared" si="79"/>
        <v>68.90913338005139</v>
      </c>
      <c r="L546" s="192"/>
      <c r="M546" s="192"/>
      <c r="N546" s="192"/>
      <c r="O546" s="192"/>
      <c r="P546" s="192"/>
      <c r="Q546" s="192"/>
    </row>
    <row r="547" spans="1:17" s="27" customFormat="1" ht="12.75">
      <c r="A547" s="46" t="s">
        <v>120</v>
      </c>
      <c r="B547" s="13" t="s">
        <v>69</v>
      </c>
      <c r="C547" s="13" t="s">
        <v>67</v>
      </c>
      <c r="D547" s="13" t="s">
        <v>338</v>
      </c>
      <c r="E547" s="13" t="s">
        <v>121</v>
      </c>
      <c r="F547" s="14">
        <f t="shared" si="84"/>
        <v>1712.4</v>
      </c>
      <c r="G547" s="14">
        <f t="shared" si="84"/>
        <v>1180</v>
      </c>
      <c r="H547" s="14">
        <f t="shared" si="78"/>
        <v>532.4000000000001</v>
      </c>
      <c r="I547" s="77">
        <f t="shared" si="79"/>
        <v>68.90913338005139</v>
      </c>
      <c r="L547" s="192"/>
      <c r="M547" s="192"/>
      <c r="N547" s="192"/>
      <c r="O547" s="192"/>
      <c r="P547" s="192"/>
      <c r="Q547" s="192"/>
    </row>
    <row r="548" spans="1:17" s="27" customFormat="1" ht="12.75">
      <c r="A548" s="46" t="s">
        <v>124</v>
      </c>
      <c r="B548" s="13" t="s">
        <v>69</v>
      </c>
      <c r="C548" s="13" t="s">
        <v>67</v>
      </c>
      <c r="D548" s="13" t="s">
        <v>338</v>
      </c>
      <c r="E548" s="13" t="s">
        <v>125</v>
      </c>
      <c r="F548" s="14">
        <f>'пр. 4 Вед'!G570</f>
        <v>1712.4</v>
      </c>
      <c r="G548" s="14">
        <f>'пр. 4 Вед'!H570</f>
        <v>1180</v>
      </c>
      <c r="H548" s="14">
        <f t="shared" si="78"/>
        <v>532.4000000000001</v>
      </c>
      <c r="I548" s="77">
        <f t="shared" si="79"/>
        <v>68.90913338005139</v>
      </c>
      <c r="L548" s="192"/>
      <c r="M548" s="192"/>
      <c r="N548" s="192"/>
      <c r="O548" s="192"/>
      <c r="P548" s="192"/>
      <c r="Q548" s="192"/>
    </row>
    <row r="549" spans="1:17" s="27" customFormat="1" ht="25.5">
      <c r="A549" s="46" t="s">
        <v>152</v>
      </c>
      <c r="B549" s="13" t="s">
        <v>69</v>
      </c>
      <c r="C549" s="13" t="s">
        <v>67</v>
      </c>
      <c r="D549" s="13" t="s">
        <v>341</v>
      </c>
      <c r="E549" s="13"/>
      <c r="F549" s="14">
        <f aca="true" t="shared" si="85" ref="F549:G553">F550</f>
        <v>157.3</v>
      </c>
      <c r="G549" s="14">
        <f t="shared" si="85"/>
        <v>157.1</v>
      </c>
      <c r="H549" s="14">
        <f t="shared" si="78"/>
        <v>0.20000000000001705</v>
      </c>
      <c r="I549" s="77">
        <f t="shared" si="79"/>
        <v>99.87285441830895</v>
      </c>
      <c r="L549" s="192"/>
      <c r="M549" s="192"/>
      <c r="N549" s="192"/>
      <c r="O549" s="192"/>
      <c r="P549" s="192"/>
      <c r="Q549" s="192"/>
    </row>
    <row r="550" spans="1:17" s="27" customFormat="1" ht="25.5">
      <c r="A550" s="46" t="s">
        <v>400</v>
      </c>
      <c r="B550" s="13" t="s">
        <v>69</v>
      </c>
      <c r="C550" s="13" t="s">
        <v>67</v>
      </c>
      <c r="D550" s="13" t="s">
        <v>399</v>
      </c>
      <c r="E550" s="13"/>
      <c r="F550" s="14">
        <f t="shared" si="85"/>
        <v>157.3</v>
      </c>
      <c r="G550" s="14">
        <f t="shared" si="85"/>
        <v>157.1</v>
      </c>
      <c r="H550" s="14">
        <f t="shared" si="78"/>
        <v>0.20000000000001705</v>
      </c>
      <c r="I550" s="77">
        <f t="shared" si="79"/>
        <v>99.87285441830895</v>
      </c>
      <c r="L550" s="192"/>
      <c r="M550" s="192"/>
      <c r="N550" s="192"/>
      <c r="O550" s="192"/>
      <c r="P550" s="192"/>
      <c r="Q550" s="192"/>
    </row>
    <row r="551" spans="1:17" s="27" customFormat="1" ht="25.5">
      <c r="A551" s="46" t="s">
        <v>401</v>
      </c>
      <c r="B551" s="13" t="s">
        <v>69</v>
      </c>
      <c r="C551" s="13" t="s">
        <v>67</v>
      </c>
      <c r="D551" s="13" t="s">
        <v>402</v>
      </c>
      <c r="E551" s="13"/>
      <c r="F551" s="14">
        <f t="shared" si="85"/>
        <v>157.3</v>
      </c>
      <c r="G551" s="14">
        <f t="shared" si="85"/>
        <v>157.1</v>
      </c>
      <c r="H551" s="14">
        <f t="shared" si="78"/>
        <v>0.20000000000001705</v>
      </c>
      <c r="I551" s="77">
        <f t="shared" si="79"/>
        <v>99.87285441830895</v>
      </c>
      <c r="L551" s="192"/>
      <c r="M551" s="192"/>
      <c r="N551" s="192"/>
      <c r="O551" s="192"/>
      <c r="P551" s="192"/>
      <c r="Q551" s="192"/>
    </row>
    <row r="552" spans="1:17" s="27" customFormat="1" ht="25.5">
      <c r="A552" s="46" t="s">
        <v>114</v>
      </c>
      <c r="B552" s="13" t="s">
        <v>69</v>
      </c>
      <c r="C552" s="13" t="s">
        <v>67</v>
      </c>
      <c r="D552" s="13" t="s">
        <v>402</v>
      </c>
      <c r="E552" s="13" t="s">
        <v>115</v>
      </c>
      <c r="F552" s="14">
        <f t="shared" si="85"/>
        <v>157.3</v>
      </c>
      <c r="G552" s="14">
        <f t="shared" si="85"/>
        <v>157.1</v>
      </c>
      <c r="H552" s="14">
        <f t="shared" si="78"/>
        <v>0.20000000000001705</v>
      </c>
      <c r="I552" s="77">
        <f t="shared" si="79"/>
        <v>99.87285441830895</v>
      </c>
      <c r="L552" s="192"/>
      <c r="M552" s="192"/>
      <c r="N552" s="192"/>
      <c r="O552" s="192"/>
      <c r="P552" s="192"/>
      <c r="Q552" s="192"/>
    </row>
    <row r="553" spans="1:17" s="27" customFormat="1" ht="12.75">
      <c r="A553" s="46" t="s">
        <v>120</v>
      </c>
      <c r="B553" s="13" t="s">
        <v>69</v>
      </c>
      <c r="C553" s="13" t="s">
        <v>67</v>
      </c>
      <c r="D553" s="13" t="s">
        <v>402</v>
      </c>
      <c r="E553" s="13" t="s">
        <v>121</v>
      </c>
      <c r="F553" s="14">
        <f t="shared" si="85"/>
        <v>157.3</v>
      </c>
      <c r="G553" s="14">
        <f t="shared" si="85"/>
        <v>157.1</v>
      </c>
      <c r="H553" s="14">
        <f t="shared" si="78"/>
        <v>0.20000000000001705</v>
      </c>
      <c r="I553" s="77">
        <f t="shared" si="79"/>
        <v>99.87285441830895</v>
      </c>
      <c r="L553" s="192"/>
      <c r="M553" s="192"/>
      <c r="N553" s="192"/>
      <c r="O553" s="192"/>
      <c r="P553" s="192"/>
      <c r="Q553" s="192"/>
    </row>
    <row r="554" spans="1:17" s="27" customFormat="1" ht="12.75">
      <c r="A554" s="46" t="s">
        <v>124</v>
      </c>
      <c r="B554" s="13" t="s">
        <v>69</v>
      </c>
      <c r="C554" s="13" t="s">
        <v>67</v>
      </c>
      <c r="D554" s="13" t="s">
        <v>402</v>
      </c>
      <c r="E554" s="13" t="s">
        <v>125</v>
      </c>
      <c r="F554" s="14">
        <f>'пр. 4 Вед'!G576</f>
        <v>157.3</v>
      </c>
      <c r="G554" s="14">
        <f>'пр. 4 Вед'!H576</f>
        <v>157.1</v>
      </c>
      <c r="H554" s="14">
        <f t="shared" si="78"/>
        <v>0.20000000000001705</v>
      </c>
      <c r="I554" s="77">
        <f t="shared" si="79"/>
        <v>99.87285441830895</v>
      </c>
      <c r="L554" s="192"/>
      <c r="M554" s="192"/>
      <c r="N554" s="192"/>
      <c r="O554" s="192"/>
      <c r="P554" s="192"/>
      <c r="Q554" s="192"/>
    </row>
    <row r="555" spans="1:17" s="27" customFormat="1" ht="25.5">
      <c r="A555" s="46" t="s">
        <v>163</v>
      </c>
      <c r="B555" s="13" t="s">
        <v>69</v>
      </c>
      <c r="C555" s="13" t="s">
        <v>67</v>
      </c>
      <c r="D555" s="13" t="s">
        <v>311</v>
      </c>
      <c r="E555" s="13"/>
      <c r="F555" s="14">
        <f>F556</f>
        <v>116889.80000000002</v>
      </c>
      <c r="G555" s="14">
        <f>G556</f>
        <v>115331.70000000001</v>
      </c>
      <c r="H555" s="14">
        <f t="shared" si="78"/>
        <v>1558.1000000000058</v>
      </c>
      <c r="I555" s="77">
        <f t="shared" si="79"/>
        <v>98.66703510485945</v>
      </c>
      <c r="L555" s="192"/>
      <c r="M555" s="192"/>
      <c r="N555" s="192"/>
      <c r="O555" s="192"/>
      <c r="P555" s="192"/>
      <c r="Q555" s="192"/>
    </row>
    <row r="556" spans="1:17" s="27" customFormat="1" ht="12.75">
      <c r="A556" s="46" t="s">
        <v>312</v>
      </c>
      <c r="B556" s="13" t="s">
        <v>69</v>
      </c>
      <c r="C556" s="13" t="s">
        <v>67</v>
      </c>
      <c r="D556" s="13" t="s">
        <v>313</v>
      </c>
      <c r="E556" s="13"/>
      <c r="F556" s="14">
        <f>F557+F561+F565+F569+F573</f>
        <v>116889.80000000002</v>
      </c>
      <c r="G556" s="14">
        <f>G557+G561+G565+G569+G573</f>
        <v>115331.70000000001</v>
      </c>
      <c r="H556" s="14">
        <f t="shared" si="78"/>
        <v>1558.1000000000058</v>
      </c>
      <c r="I556" s="77">
        <f t="shared" si="79"/>
        <v>98.66703510485945</v>
      </c>
      <c r="L556" s="192"/>
      <c r="M556" s="192"/>
      <c r="N556" s="192"/>
      <c r="O556" s="192"/>
      <c r="P556" s="192"/>
      <c r="Q556" s="192"/>
    </row>
    <row r="557" spans="1:17" s="27" customFormat="1" ht="38.25">
      <c r="A557" s="46" t="s">
        <v>397</v>
      </c>
      <c r="B557" s="13" t="s">
        <v>69</v>
      </c>
      <c r="C557" s="13" t="s">
        <v>67</v>
      </c>
      <c r="D557" s="13" t="s">
        <v>339</v>
      </c>
      <c r="E557" s="13"/>
      <c r="F557" s="14">
        <f aca="true" t="shared" si="86" ref="F557:G559">F558</f>
        <v>104898.8</v>
      </c>
      <c r="G557" s="14">
        <f t="shared" si="86"/>
        <v>104748.8</v>
      </c>
      <c r="H557" s="14">
        <f t="shared" si="78"/>
        <v>150</v>
      </c>
      <c r="I557" s="77">
        <f t="shared" si="79"/>
        <v>99.8570050372359</v>
      </c>
      <c r="L557" s="192"/>
      <c r="M557" s="192"/>
      <c r="N557" s="192"/>
      <c r="O557" s="192"/>
      <c r="P557" s="192"/>
      <c r="Q557" s="192"/>
    </row>
    <row r="558" spans="1:17" s="27" customFormat="1" ht="25.5">
      <c r="A558" s="46" t="s">
        <v>114</v>
      </c>
      <c r="B558" s="13" t="s">
        <v>69</v>
      </c>
      <c r="C558" s="13" t="s">
        <v>67</v>
      </c>
      <c r="D558" s="13" t="s">
        <v>339</v>
      </c>
      <c r="E558" s="13" t="s">
        <v>115</v>
      </c>
      <c r="F558" s="14">
        <f t="shared" si="86"/>
        <v>104898.8</v>
      </c>
      <c r="G558" s="14">
        <f t="shared" si="86"/>
        <v>104748.8</v>
      </c>
      <c r="H558" s="14">
        <f t="shared" si="78"/>
        <v>150</v>
      </c>
      <c r="I558" s="77">
        <f t="shared" si="79"/>
        <v>99.8570050372359</v>
      </c>
      <c r="L558" s="192"/>
      <c r="M558" s="192"/>
      <c r="N558" s="192"/>
      <c r="O558" s="192"/>
      <c r="P558" s="192"/>
      <c r="Q558" s="192"/>
    </row>
    <row r="559" spans="1:17" s="27" customFormat="1" ht="12.75">
      <c r="A559" s="46" t="s">
        <v>120</v>
      </c>
      <c r="B559" s="13" t="s">
        <v>69</v>
      </c>
      <c r="C559" s="13" t="s">
        <v>67</v>
      </c>
      <c r="D559" s="13" t="s">
        <v>339</v>
      </c>
      <c r="E559" s="13" t="s">
        <v>121</v>
      </c>
      <c r="F559" s="14">
        <f t="shared" si="86"/>
        <v>104898.8</v>
      </c>
      <c r="G559" s="14">
        <f t="shared" si="86"/>
        <v>104748.8</v>
      </c>
      <c r="H559" s="14">
        <f t="shared" si="78"/>
        <v>150</v>
      </c>
      <c r="I559" s="77">
        <f t="shared" si="79"/>
        <v>99.8570050372359</v>
      </c>
      <c r="L559" s="192"/>
      <c r="M559" s="192"/>
      <c r="N559" s="192"/>
      <c r="O559" s="192"/>
      <c r="P559" s="192"/>
      <c r="Q559" s="192"/>
    </row>
    <row r="560" spans="1:17" s="27" customFormat="1" ht="38.25">
      <c r="A560" s="46" t="s">
        <v>122</v>
      </c>
      <c r="B560" s="13" t="s">
        <v>69</v>
      </c>
      <c r="C560" s="13" t="s">
        <v>67</v>
      </c>
      <c r="D560" s="13" t="s">
        <v>339</v>
      </c>
      <c r="E560" s="13" t="s">
        <v>123</v>
      </c>
      <c r="F560" s="14">
        <f>'пр. 4 Вед'!G582</f>
        <v>104898.8</v>
      </c>
      <c r="G560" s="14">
        <f>'пр. 4 Вед'!H582</f>
        <v>104748.8</v>
      </c>
      <c r="H560" s="14">
        <f t="shared" si="78"/>
        <v>150</v>
      </c>
      <c r="I560" s="77">
        <f t="shared" si="79"/>
        <v>99.8570050372359</v>
      </c>
      <c r="L560" s="192"/>
      <c r="M560" s="192"/>
      <c r="N560" s="192"/>
      <c r="O560" s="192"/>
      <c r="P560" s="192"/>
      <c r="Q560" s="192"/>
    </row>
    <row r="561" spans="1:17" s="27" customFormat="1" ht="38.25">
      <c r="A561" s="46" t="s">
        <v>394</v>
      </c>
      <c r="B561" s="13" t="s">
        <v>69</v>
      </c>
      <c r="C561" s="13" t="s">
        <v>67</v>
      </c>
      <c r="D561" s="13" t="s">
        <v>326</v>
      </c>
      <c r="E561" s="13"/>
      <c r="F561" s="14">
        <f aca="true" t="shared" si="87" ref="F561:G563">F562</f>
        <v>1813.6000000000001</v>
      </c>
      <c r="G561" s="14">
        <f t="shared" si="87"/>
        <v>1390</v>
      </c>
      <c r="H561" s="14">
        <f t="shared" si="78"/>
        <v>423.60000000000014</v>
      </c>
      <c r="I561" s="77">
        <f t="shared" si="79"/>
        <v>76.64314071460079</v>
      </c>
      <c r="L561" s="192"/>
      <c r="M561" s="192"/>
      <c r="N561" s="192"/>
      <c r="O561" s="192"/>
      <c r="P561" s="192"/>
      <c r="Q561" s="192"/>
    </row>
    <row r="562" spans="1:17" s="27" customFormat="1" ht="25.5">
      <c r="A562" s="46" t="s">
        <v>114</v>
      </c>
      <c r="B562" s="13" t="s">
        <v>69</v>
      </c>
      <c r="C562" s="13" t="s">
        <v>67</v>
      </c>
      <c r="D562" s="13" t="s">
        <v>326</v>
      </c>
      <c r="E562" s="13" t="s">
        <v>115</v>
      </c>
      <c r="F562" s="14">
        <f t="shared" si="87"/>
        <v>1813.6000000000001</v>
      </c>
      <c r="G562" s="14">
        <f t="shared" si="87"/>
        <v>1390</v>
      </c>
      <c r="H562" s="14">
        <f t="shared" si="78"/>
        <v>423.60000000000014</v>
      </c>
      <c r="I562" s="77">
        <f t="shared" si="79"/>
        <v>76.64314071460079</v>
      </c>
      <c r="L562" s="192"/>
      <c r="M562" s="192"/>
      <c r="N562" s="192"/>
      <c r="O562" s="192"/>
      <c r="P562" s="192"/>
      <c r="Q562" s="192"/>
    </row>
    <row r="563" spans="1:17" s="27" customFormat="1" ht="12.75">
      <c r="A563" s="46" t="s">
        <v>120</v>
      </c>
      <c r="B563" s="13" t="s">
        <v>69</v>
      </c>
      <c r="C563" s="13" t="s">
        <v>67</v>
      </c>
      <c r="D563" s="13" t="s">
        <v>326</v>
      </c>
      <c r="E563" s="13" t="s">
        <v>121</v>
      </c>
      <c r="F563" s="14">
        <f t="shared" si="87"/>
        <v>1813.6000000000001</v>
      </c>
      <c r="G563" s="14">
        <f t="shared" si="87"/>
        <v>1390</v>
      </c>
      <c r="H563" s="14">
        <f t="shared" si="78"/>
        <v>423.60000000000014</v>
      </c>
      <c r="I563" s="77">
        <f t="shared" si="79"/>
        <v>76.64314071460079</v>
      </c>
      <c r="L563" s="192"/>
      <c r="M563" s="192"/>
      <c r="N563" s="192"/>
      <c r="O563" s="192"/>
      <c r="P563" s="192"/>
      <c r="Q563" s="192"/>
    </row>
    <row r="564" spans="1:17" s="27" customFormat="1" ht="38.25">
      <c r="A564" s="46" t="s">
        <v>122</v>
      </c>
      <c r="B564" s="13" t="s">
        <v>69</v>
      </c>
      <c r="C564" s="13" t="s">
        <v>67</v>
      </c>
      <c r="D564" s="13" t="s">
        <v>326</v>
      </c>
      <c r="E564" s="13" t="s">
        <v>123</v>
      </c>
      <c r="F564" s="14">
        <f>'пр. 4 Вед'!G586+'пр. 4 Вед'!G822</f>
        <v>1813.6000000000001</v>
      </c>
      <c r="G564" s="14">
        <f>'пр. 4 Вед'!H586+'пр. 4 Вед'!H822</f>
        <v>1390</v>
      </c>
      <c r="H564" s="14">
        <f t="shared" si="78"/>
        <v>423.60000000000014</v>
      </c>
      <c r="I564" s="77">
        <f t="shared" si="79"/>
        <v>76.64314071460079</v>
      </c>
      <c r="L564" s="192"/>
      <c r="M564" s="192"/>
      <c r="N564" s="192"/>
      <c r="O564" s="192"/>
      <c r="P564" s="192"/>
      <c r="Q564" s="192"/>
    </row>
    <row r="565" spans="1:17" s="27" customFormat="1" ht="51.75" customHeight="1">
      <c r="A565" s="46" t="str">
        <f>'пр. 4 Вед'!A587</f>
        <v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v>
      </c>
      <c r="B565" s="13" t="s">
        <v>69</v>
      </c>
      <c r="C565" s="13" t="s">
        <v>67</v>
      </c>
      <c r="D565" s="13" t="s">
        <v>327</v>
      </c>
      <c r="E565" s="13"/>
      <c r="F565" s="14">
        <f aca="true" t="shared" si="88" ref="F565:G567">F566</f>
        <v>4013.1000000000004</v>
      </c>
      <c r="G565" s="14">
        <f t="shared" si="88"/>
        <v>3797</v>
      </c>
      <c r="H565" s="14">
        <f t="shared" si="78"/>
        <v>216.10000000000036</v>
      </c>
      <c r="I565" s="77">
        <f t="shared" si="79"/>
        <v>94.61513543146195</v>
      </c>
      <c r="L565" s="192"/>
      <c r="M565" s="192"/>
      <c r="N565" s="192"/>
      <c r="O565" s="192"/>
      <c r="P565" s="192"/>
      <c r="Q565" s="192"/>
    </row>
    <row r="566" spans="1:17" s="27" customFormat="1" ht="25.5">
      <c r="A566" s="46" t="s">
        <v>114</v>
      </c>
      <c r="B566" s="13" t="s">
        <v>69</v>
      </c>
      <c r="C566" s="13" t="s">
        <v>67</v>
      </c>
      <c r="D566" s="13" t="s">
        <v>327</v>
      </c>
      <c r="E566" s="13" t="s">
        <v>115</v>
      </c>
      <c r="F566" s="14">
        <f t="shared" si="88"/>
        <v>4013.1000000000004</v>
      </c>
      <c r="G566" s="14">
        <f t="shared" si="88"/>
        <v>3797</v>
      </c>
      <c r="H566" s="14">
        <f t="shared" si="78"/>
        <v>216.10000000000036</v>
      </c>
      <c r="I566" s="77">
        <f t="shared" si="79"/>
        <v>94.61513543146195</v>
      </c>
      <c r="L566" s="192"/>
      <c r="M566" s="192"/>
      <c r="N566" s="192"/>
      <c r="O566" s="192"/>
      <c r="P566" s="192"/>
      <c r="Q566" s="192"/>
    </row>
    <row r="567" spans="1:17" s="27" customFormat="1" ht="12.75">
      <c r="A567" s="46" t="s">
        <v>120</v>
      </c>
      <c r="B567" s="13" t="s">
        <v>69</v>
      </c>
      <c r="C567" s="13" t="s">
        <v>67</v>
      </c>
      <c r="D567" s="13" t="s">
        <v>327</v>
      </c>
      <c r="E567" s="13" t="s">
        <v>121</v>
      </c>
      <c r="F567" s="14">
        <f t="shared" si="88"/>
        <v>4013.1000000000004</v>
      </c>
      <c r="G567" s="14">
        <f t="shared" si="88"/>
        <v>3797</v>
      </c>
      <c r="H567" s="14">
        <f t="shared" si="78"/>
        <v>216.10000000000036</v>
      </c>
      <c r="I567" s="77">
        <f t="shared" si="79"/>
        <v>94.61513543146195</v>
      </c>
      <c r="L567" s="192"/>
      <c r="M567" s="192"/>
      <c r="N567" s="192"/>
      <c r="O567" s="192"/>
      <c r="P567" s="192"/>
      <c r="Q567" s="192"/>
    </row>
    <row r="568" spans="1:17" s="27" customFormat="1" ht="38.25">
      <c r="A568" s="46" t="s">
        <v>122</v>
      </c>
      <c r="B568" s="13" t="s">
        <v>69</v>
      </c>
      <c r="C568" s="13" t="s">
        <v>67</v>
      </c>
      <c r="D568" s="13" t="s">
        <v>327</v>
      </c>
      <c r="E568" s="13" t="s">
        <v>123</v>
      </c>
      <c r="F568" s="14">
        <f>'пр. 4 Вед'!G590+'пр. 4 Вед'!G826</f>
        <v>4013.1000000000004</v>
      </c>
      <c r="G568" s="14">
        <f>'пр. 4 Вед'!H590+'пр. 4 Вед'!H826</f>
        <v>3797</v>
      </c>
      <c r="H568" s="14">
        <f t="shared" si="78"/>
        <v>216.10000000000036</v>
      </c>
      <c r="I568" s="77">
        <f t="shared" si="79"/>
        <v>94.61513543146195</v>
      </c>
      <c r="L568" s="192"/>
      <c r="M568" s="192"/>
      <c r="N568" s="192"/>
      <c r="O568" s="192"/>
      <c r="P568" s="192"/>
      <c r="Q568" s="192"/>
    </row>
    <row r="569" spans="1:17" s="27" customFormat="1" ht="25.5">
      <c r="A569" s="46" t="s">
        <v>398</v>
      </c>
      <c r="B569" s="13" t="s">
        <v>69</v>
      </c>
      <c r="C569" s="13" t="s">
        <v>67</v>
      </c>
      <c r="D569" s="13" t="s">
        <v>340</v>
      </c>
      <c r="E569" s="13"/>
      <c r="F569" s="14">
        <f aca="true" t="shared" si="89" ref="F569:G571">F570</f>
        <v>1146.8</v>
      </c>
      <c r="G569" s="14">
        <f t="shared" si="89"/>
        <v>1146.8</v>
      </c>
      <c r="H569" s="14">
        <f t="shared" si="78"/>
        <v>0</v>
      </c>
      <c r="I569" s="77">
        <f t="shared" si="79"/>
        <v>100</v>
      </c>
      <c r="L569" s="192"/>
      <c r="M569" s="192"/>
      <c r="N569" s="192"/>
      <c r="O569" s="192"/>
      <c r="P569" s="192"/>
      <c r="Q569" s="192"/>
    </row>
    <row r="570" spans="1:17" s="27" customFormat="1" ht="25.5">
      <c r="A570" s="46" t="s">
        <v>114</v>
      </c>
      <c r="B570" s="13" t="s">
        <v>69</v>
      </c>
      <c r="C570" s="13" t="s">
        <v>67</v>
      </c>
      <c r="D570" s="13" t="s">
        <v>340</v>
      </c>
      <c r="E570" s="13" t="s">
        <v>115</v>
      </c>
      <c r="F570" s="14">
        <f t="shared" si="89"/>
        <v>1146.8</v>
      </c>
      <c r="G570" s="14">
        <f t="shared" si="89"/>
        <v>1146.8</v>
      </c>
      <c r="H570" s="14">
        <f t="shared" si="78"/>
        <v>0</v>
      </c>
      <c r="I570" s="77">
        <f t="shared" si="79"/>
        <v>100</v>
      </c>
      <c r="L570" s="192"/>
      <c r="M570" s="192"/>
      <c r="N570" s="192"/>
      <c r="O570" s="192"/>
      <c r="P570" s="192"/>
      <c r="Q570" s="192"/>
    </row>
    <row r="571" spans="1:17" s="27" customFormat="1" ht="12.75">
      <c r="A571" s="46" t="s">
        <v>120</v>
      </c>
      <c r="B571" s="13" t="s">
        <v>69</v>
      </c>
      <c r="C571" s="13" t="s">
        <v>67</v>
      </c>
      <c r="D571" s="13" t="s">
        <v>340</v>
      </c>
      <c r="E571" s="13" t="s">
        <v>121</v>
      </c>
      <c r="F571" s="14">
        <f t="shared" si="89"/>
        <v>1146.8</v>
      </c>
      <c r="G571" s="14">
        <f t="shared" si="89"/>
        <v>1146.8</v>
      </c>
      <c r="H571" s="14">
        <f t="shared" si="78"/>
        <v>0</v>
      </c>
      <c r="I571" s="77">
        <f t="shared" si="79"/>
        <v>100</v>
      </c>
      <c r="L571" s="192"/>
      <c r="M571" s="192"/>
      <c r="N571" s="192"/>
      <c r="O571" s="192"/>
      <c r="P571" s="192"/>
      <c r="Q571" s="192"/>
    </row>
    <row r="572" spans="1:17" s="27" customFormat="1" ht="38.25">
      <c r="A572" s="46" t="s">
        <v>122</v>
      </c>
      <c r="B572" s="13" t="s">
        <v>69</v>
      </c>
      <c r="C572" s="13" t="s">
        <v>67</v>
      </c>
      <c r="D572" s="13" t="s">
        <v>340</v>
      </c>
      <c r="E572" s="13" t="s">
        <v>123</v>
      </c>
      <c r="F572" s="14">
        <f>'пр. 4 Вед'!G594</f>
        <v>1146.8</v>
      </c>
      <c r="G572" s="14">
        <f>'пр. 4 Вед'!H594</f>
        <v>1146.8</v>
      </c>
      <c r="H572" s="14">
        <f t="shared" si="78"/>
        <v>0</v>
      </c>
      <c r="I572" s="77">
        <f t="shared" si="79"/>
        <v>100</v>
      </c>
      <c r="L572" s="192"/>
      <c r="M572" s="192"/>
      <c r="N572" s="192"/>
      <c r="O572" s="192"/>
      <c r="P572" s="192"/>
      <c r="Q572" s="192"/>
    </row>
    <row r="573" spans="1:17" s="27" customFormat="1" ht="55.5" customHeight="1">
      <c r="A573" s="46" t="str">
        <f>'пр. 4 Вед'!A595</f>
        <v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v>
      </c>
      <c r="B573" s="13" t="s">
        <v>69</v>
      </c>
      <c r="C573" s="13" t="s">
        <v>67</v>
      </c>
      <c r="D573" s="13" t="s">
        <v>330</v>
      </c>
      <c r="E573" s="13"/>
      <c r="F573" s="14">
        <f aca="true" t="shared" si="90" ref="F573:G575">F574</f>
        <v>5017.5</v>
      </c>
      <c r="G573" s="14">
        <f t="shared" si="90"/>
        <v>4249.1</v>
      </c>
      <c r="H573" s="14">
        <f t="shared" si="78"/>
        <v>768.3999999999996</v>
      </c>
      <c r="I573" s="77">
        <f t="shared" si="79"/>
        <v>84.68560039860489</v>
      </c>
      <c r="L573" s="192"/>
      <c r="M573" s="192"/>
      <c r="N573" s="192"/>
      <c r="O573" s="192"/>
      <c r="P573" s="192"/>
      <c r="Q573" s="192"/>
    </row>
    <row r="574" spans="1:17" s="27" customFormat="1" ht="25.5">
      <c r="A574" s="46" t="s">
        <v>114</v>
      </c>
      <c r="B574" s="13" t="s">
        <v>69</v>
      </c>
      <c r="C574" s="13" t="s">
        <v>67</v>
      </c>
      <c r="D574" s="13" t="s">
        <v>330</v>
      </c>
      <c r="E574" s="13" t="s">
        <v>115</v>
      </c>
      <c r="F574" s="14">
        <f t="shared" si="90"/>
        <v>5017.5</v>
      </c>
      <c r="G574" s="14">
        <f t="shared" si="90"/>
        <v>4249.1</v>
      </c>
      <c r="H574" s="14">
        <f t="shared" si="78"/>
        <v>768.3999999999996</v>
      </c>
      <c r="I574" s="77">
        <f t="shared" si="79"/>
        <v>84.68560039860489</v>
      </c>
      <c r="L574" s="192"/>
      <c r="M574" s="192"/>
      <c r="N574" s="192"/>
      <c r="O574" s="192"/>
      <c r="P574" s="192"/>
      <c r="Q574" s="192"/>
    </row>
    <row r="575" spans="1:17" s="27" customFormat="1" ht="12.75">
      <c r="A575" s="46" t="s">
        <v>120</v>
      </c>
      <c r="B575" s="13" t="s">
        <v>69</v>
      </c>
      <c r="C575" s="13" t="s">
        <v>67</v>
      </c>
      <c r="D575" s="13" t="s">
        <v>330</v>
      </c>
      <c r="E575" s="13" t="s">
        <v>121</v>
      </c>
      <c r="F575" s="14">
        <f t="shared" si="90"/>
        <v>5017.5</v>
      </c>
      <c r="G575" s="14">
        <f t="shared" si="90"/>
        <v>4249.1</v>
      </c>
      <c r="H575" s="14">
        <f t="shared" si="78"/>
        <v>768.3999999999996</v>
      </c>
      <c r="I575" s="77">
        <f t="shared" si="79"/>
        <v>84.68560039860489</v>
      </c>
      <c r="L575" s="192"/>
      <c r="M575" s="192"/>
      <c r="N575" s="192"/>
      <c r="O575" s="192"/>
      <c r="P575" s="192"/>
      <c r="Q575" s="192"/>
    </row>
    <row r="576" spans="1:17" s="27" customFormat="1" ht="12.75">
      <c r="A576" s="46" t="s">
        <v>124</v>
      </c>
      <c r="B576" s="13" t="s">
        <v>69</v>
      </c>
      <c r="C576" s="13" t="s">
        <v>67</v>
      </c>
      <c r="D576" s="13" t="s">
        <v>330</v>
      </c>
      <c r="E576" s="13" t="s">
        <v>125</v>
      </c>
      <c r="F576" s="14">
        <f>'пр. 4 Вед'!G598+'пр. 4 Вед'!G830</f>
        <v>5017.5</v>
      </c>
      <c r="G576" s="14">
        <f>'пр. 4 Вед'!H598+'пр. 4 Вед'!H830</f>
        <v>4249.1</v>
      </c>
      <c r="H576" s="14">
        <f t="shared" si="78"/>
        <v>768.3999999999996</v>
      </c>
      <c r="I576" s="77">
        <f t="shared" si="79"/>
        <v>84.68560039860489</v>
      </c>
      <c r="L576" s="192"/>
      <c r="M576" s="192"/>
      <c r="N576" s="192"/>
      <c r="O576" s="192"/>
      <c r="P576" s="192"/>
      <c r="Q576" s="192"/>
    </row>
    <row r="577" spans="1:17" s="27" customFormat="1" ht="25.5">
      <c r="A577" s="46" t="s">
        <v>359</v>
      </c>
      <c r="B577" s="13" t="s">
        <v>69</v>
      </c>
      <c r="C577" s="12" t="s">
        <v>67</v>
      </c>
      <c r="D577" s="45" t="s">
        <v>202</v>
      </c>
      <c r="E577" s="13"/>
      <c r="F577" s="14">
        <f>F578</f>
        <v>1941.2</v>
      </c>
      <c r="G577" s="14">
        <f>G578</f>
        <v>771.2</v>
      </c>
      <c r="H577" s="14">
        <f t="shared" si="78"/>
        <v>1170</v>
      </c>
      <c r="I577" s="77">
        <f t="shared" si="79"/>
        <v>39.728003296929735</v>
      </c>
      <c r="L577" s="192"/>
      <c r="M577" s="192"/>
      <c r="N577" s="192"/>
      <c r="O577" s="192"/>
      <c r="P577" s="192"/>
      <c r="Q577" s="192"/>
    </row>
    <row r="578" spans="1:17" s="27" customFormat="1" ht="25.5">
      <c r="A578" s="46" t="s">
        <v>385</v>
      </c>
      <c r="B578" s="13" t="s">
        <v>69</v>
      </c>
      <c r="C578" s="13" t="s">
        <v>67</v>
      </c>
      <c r="D578" s="45" t="s">
        <v>449</v>
      </c>
      <c r="E578" s="13"/>
      <c r="F578" s="14">
        <f>F587+F591+F595+F579+F583</f>
        <v>1941.2</v>
      </c>
      <c r="G578" s="14">
        <f>G587+G591+G595+G579+G583</f>
        <v>771.2</v>
      </c>
      <c r="H578" s="14">
        <f t="shared" si="78"/>
        <v>1170</v>
      </c>
      <c r="I578" s="77">
        <f t="shared" si="79"/>
        <v>39.728003296929735</v>
      </c>
      <c r="L578" s="192"/>
      <c r="M578" s="192"/>
      <c r="N578" s="192"/>
      <c r="O578" s="192"/>
      <c r="P578" s="192"/>
      <c r="Q578" s="192"/>
    </row>
    <row r="579" spans="1:17" s="27" customFormat="1" ht="25.5">
      <c r="A579" s="25" t="s">
        <v>729</v>
      </c>
      <c r="B579" s="13" t="s">
        <v>69</v>
      </c>
      <c r="C579" s="13" t="s">
        <v>67</v>
      </c>
      <c r="D579" s="45" t="s">
        <v>730</v>
      </c>
      <c r="E579" s="13"/>
      <c r="F579" s="14">
        <f aca="true" t="shared" si="91" ref="F579:G581">F580</f>
        <v>1000</v>
      </c>
      <c r="G579" s="14">
        <f t="shared" si="91"/>
        <v>0</v>
      </c>
      <c r="H579" s="14">
        <f t="shared" si="78"/>
        <v>1000</v>
      </c>
      <c r="I579" s="77">
        <f t="shared" si="79"/>
        <v>0</v>
      </c>
      <c r="L579" s="192"/>
      <c r="M579" s="192"/>
      <c r="N579" s="192"/>
      <c r="O579" s="192"/>
      <c r="P579" s="192"/>
      <c r="Q579" s="192"/>
    </row>
    <row r="580" spans="1:17" s="27" customFormat="1" ht="25.5">
      <c r="A580" s="9" t="s">
        <v>114</v>
      </c>
      <c r="B580" s="13" t="s">
        <v>69</v>
      </c>
      <c r="C580" s="13" t="s">
        <v>67</v>
      </c>
      <c r="D580" s="45" t="s">
        <v>730</v>
      </c>
      <c r="E580" s="13" t="s">
        <v>115</v>
      </c>
      <c r="F580" s="14">
        <f t="shared" si="91"/>
        <v>1000</v>
      </c>
      <c r="G580" s="14">
        <f t="shared" si="91"/>
        <v>0</v>
      </c>
      <c r="H580" s="14">
        <f t="shared" si="78"/>
        <v>1000</v>
      </c>
      <c r="I580" s="77">
        <f t="shared" si="79"/>
        <v>0</v>
      </c>
      <c r="L580" s="192"/>
      <c r="M580" s="192"/>
      <c r="N580" s="192"/>
      <c r="O580" s="192"/>
      <c r="P580" s="192"/>
      <c r="Q580" s="192"/>
    </row>
    <row r="581" spans="1:17" s="27" customFormat="1" ht="12.75">
      <c r="A581" s="9" t="s">
        <v>120</v>
      </c>
      <c r="B581" s="13" t="s">
        <v>69</v>
      </c>
      <c r="C581" s="13" t="s">
        <v>67</v>
      </c>
      <c r="D581" s="45" t="s">
        <v>730</v>
      </c>
      <c r="E581" s="13" t="s">
        <v>121</v>
      </c>
      <c r="F581" s="14">
        <f t="shared" si="91"/>
        <v>1000</v>
      </c>
      <c r="G581" s="14">
        <f t="shared" si="91"/>
        <v>0</v>
      </c>
      <c r="H581" s="14">
        <f t="shared" si="78"/>
        <v>1000</v>
      </c>
      <c r="I581" s="77">
        <f t="shared" si="79"/>
        <v>0</v>
      </c>
      <c r="L581" s="192"/>
      <c r="M581" s="192"/>
      <c r="N581" s="192"/>
      <c r="O581" s="192"/>
      <c r="P581" s="192"/>
      <c r="Q581" s="192"/>
    </row>
    <row r="582" spans="1:17" s="27" customFormat="1" ht="12.75">
      <c r="A582" s="9" t="s">
        <v>124</v>
      </c>
      <c r="B582" s="13" t="s">
        <v>69</v>
      </c>
      <c r="C582" s="13" t="s">
        <v>67</v>
      </c>
      <c r="D582" s="45" t="s">
        <v>730</v>
      </c>
      <c r="E582" s="13" t="s">
        <v>125</v>
      </c>
      <c r="F582" s="14">
        <f>'пр. 4 Вед'!G604</f>
        <v>1000</v>
      </c>
      <c r="G582" s="14">
        <f>'пр. 4 Вед'!H604</f>
        <v>0</v>
      </c>
      <c r="H582" s="14">
        <f t="shared" si="78"/>
        <v>1000</v>
      </c>
      <c r="I582" s="77">
        <f t="shared" si="79"/>
        <v>0</v>
      </c>
      <c r="L582" s="192"/>
      <c r="M582" s="192"/>
      <c r="N582" s="192"/>
      <c r="O582" s="192"/>
      <c r="P582" s="192"/>
      <c r="Q582" s="192"/>
    </row>
    <row r="583" spans="1:17" s="27" customFormat="1" ht="25.5">
      <c r="A583" s="25" t="s">
        <v>731</v>
      </c>
      <c r="B583" s="13" t="s">
        <v>69</v>
      </c>
      <c r="C583" s="13" t="s">
        <v>67</v>
      </c>
      <c r="D583" s="45" t="s">
        <v>732</v>
      </c>
      <c r="E583" s="13"/>
      <c r="F583" s="14">
        <f aca="true" t="shared" si="92" ref="F583:G585">F584</f>
        <v>70</v>
      </c>
      <c r="G583" s="14">
        <f t="shared" si="92"/>
        <v>69.9</v>
      </c>
      <c r="H583" s="14">
        <f t="shared" si="78"/>
        <v>0.09999999999999432</v>
      </c>
      <c r="I583" s="77">
        <f t="shared" si="79"/>
        <v>99.85714285714286</v>
      </c>
      <c r="L583" s="192"/>
      <c r="M583" s="192"/>
      <c r="N583" s="192"/>
      <c r="O583" s="192"/>
      <c r="P583" s="192"/>
      <c r="Q583" s="192"/>
    </row>
    <row r="584" spans="1:17" s="27" customFormat="1" ht="25.5">
      <c r="A584" s="9" t="s">
        <v>114</v>
      </c>
      <c r="B584" s="13" t="s">
        <v>69</v>
      </c>
      <c r="C584" s="13" t="s">
        <v>67</v>
      </c>
      <c r="D584" s="45" t="s">
        <v>732</v>
      </c>
      <c r="E584" s="13" t="s">
        <v>115</v>
      </c>
      <c r="F584" s="14">
        <f t="shared" si="92"/>
        <v>70</v>
      </c>
      <c r="G584" s="14">
        <f t="shared" si="92"/>
        <v>69.9</v>
      </c>
      <c r="H584" s="14">
        <f t="shared" si="78"/>
        <v>0.09999999999999432</v>
      </c>
      <c r="I584" s="77">
        <f t="shared" si="79"/>
        <v>99.85714285714286</v>
      </c>
      <c r="L584" s="192"/>
      <c r="M584" s="192"/>
      <c r="N584" s="192"/>
      <c r="O584" s="192"/>
      <c r="P584" s="192"/>
      <c r="Q584" s="192"/>
    </row>
    <row r="585" spans="1:17" s="27" customFormat="1" ht="12.75">
      <c r="A585" s="9" t="s">
        <v>120</v>
      </c>
      <c r="B585" s="13" t="s">
        <v>69</v>
      </c>
      <c r="C585" s="13" t="s">
        <v>67</v>
      </c>
      <c r="D585" s="45" t="s">
        <v>732</v>
      </c>
      <c r="E585" s="13" t="s">
        <v>121</v>
      </c>
      <c r="F585" s="14">
        <f t="shared" si="92"/>
        <v>70</v>
      </c>
      <c r="G585" s="14">
        <f t="shared" si="92"/>
        <v>69.9</v>
      </c>
      <c r="H585" s="14">
        <f aca="true" t="shared" si="93" ref="H585:H648">F585-G585</f>
        <v>0.09999999999999432</v>
      </c>
      <c r="I585" s="77">
        <f aca="true" t="shared" si="94" ref="I585:I648">G585/F585*100</f>
        <v>99.85714285714286</v>
      </c>
      <c r="L585" s="192"/>
      <c r="M585" s="192"/>
      <c r="N585" s="192"/>
      <c r="O585" s="192"/>
      <c r="P585" s="192"/>
      <c r="Q585" s="192"/>
    </row>
    <row r="586" spans="1:17" s="27" customFormat="1" ht="12.75">
      <c r="A586" s="9" t="s">
        <v>124</v>
      </c>
      <c r="B586" s="13" t="s">
        <v>69</v>
      </c>
      <c r="C586" s="13" t="s">
        <v>67</v>
      </c>
      <c r="D586" s="45" t="s">
        <v>732</v>
      </c>
      <c r="E586" s="13" t="s">
        <v>125</v>
      </c>
      <c r="F586" s="14">
        <f>'пр. 4 Вед'!G608</f>
        <v>70</v>
      </c>
      <c r="G586" s="14">
        <f>'пр. 4 Вед'!H608</f>
        <v>69.9</v>
      </c>
      <c r="H586" s="14">
        <f t="shared" si="93"/>
        <v>0.09999999999999432</v>
      </c>
      <c r="I586" s="77">
        <f t="shared" si="94"/>
        <v>99.85714285714286</v>
      </c>
      <c r="L586" s="192"/>
      <c r="M586" s="192"/>
      <c r="N586" s="192"/>
      <c r="O586" s="192"/>
      <c r="P586" s="192"/>
      <c r="Q586" s="192"/>
    </row>
    <row r="587" spans="1:17" s="27" customFormat="1" ht="12.75">
      <c r="A587" s="46" t="s">
        <v>199</v>
      </c>
      <c r="B587" s="13" t="s">
        <v>69</v>
      </c>
      <c r="C587" s="13" t="s">
        <v>67</v>
      </c>
      <c r="D587" s="45" t="s">
        <v>450</v>
      </c>
      <c r="E587" s="13"/>
      <c r="F587" s="14">
        <f aca="true" t="shared" si="95" ref="F587:G589">F588</f>
        <v>597</v>
      </c>
      <c r="G587" s="14">
        <f t="shared" si="95"/>
        <v>595.1</v>
      </c>
      <c r="H587" s="14">
        <f t="shared" si="93"/>
        <v>1.8999999999999773</v>
      </c>
      <c r="I587" s="77">
        <f t="shared" si="94"/>
        <v>99.6817420435511</v>
      </c>
      <c r="L587" s="192"/>
      <c r="M587" s="192"/>
      <c r="N587" s="192"/>
      <c r="O587" s="192"/>
      <c r="P587" s="192"/>
      <c r="Q587" s="192"/>
    </row>
    <row r="588" spans="1:17" s="27" customFormat="1" ht="25.5">
      <c r="A588" s="46" t="s">
        <v>114</v>
      </c>
      <c r="B588" s="13" t="s">
        <v>69</v>
      </c>
      <c r="C588" s="13" t="s">
        <v>67</v>
      </c>
      <c r="D588" s="45" t="s">
        <v>450</v>
      </c>
      <c r="E588" s="13" t="s">
        <v>115</v>
      </c>
      <c r="F588" s="14">
        <f t="shared" si="95"/>
        <v>597</v>
      </c>
      <c r="G588" s="14">
        <f t="shared" si="95"/>
        <v>595.1</v>
      </c>
      <c r="H588" s="14">
        <f t="shared" si="93"/>
        <v>1.8999999999999773</v>
      </c>
      <c r="I588" s="77">
        <f t="shared" si="94"/>
        <v>99.6817420435511</v>
      </c>
      <c r="L588" s="192"/>
      <c r="M588" s="192"/>
      <c r="N588" s="192"/>
      <c r="O588" s="192"/>
      <c r="P588" s="192"/>
      <c r="Q588" s="192"/>
    </row>
    <row r="589" spans="1:17" s="27" customFormat="1" ht="12.75">
      <c r="A589" s="46" t="s">
        <v>120</v>
      </c>
      <c r="B589" s="13" t="s">
        <v>69</v>
      </c>
      <c r="C589" s="13" t="s">
        <v>67</v>
      </c>
      <c r="D589" s="45" t="s">
        <v>450</v>
      </c>
      <c r="E589" s="13" t="s">
        <v>121</v>
      </c>
      <c r="F589" s="14">
        <f t="shared" si="95"/>
        <v>597</v>
      </c>
      <c r="G589" s="14">
        <f t="shared" si="95"/>
        <v>595.1</v>
      </c>
      <c r="H589" s="14">
        <f t="shared" si="93"/>
        <v>1.8999999999999773</v>
      </c>
      <c r="I589" s="77">
        <f t="shared" si="94"/>
        <v>99.6817420435511</v>
      </c>
      <c r="L589" s="192"/>
      <c r="M589" s="192"/>
      <c r="N589" s="192"/>
      <c r="O589" s="192"/>
      <c r="P589" s="192"/>
      <c r="Q589" s="192"/>
    </row>
    <row r="590" spans="1:17" s="27" customFormat="1" ht="12.75">
      <c r="A590" s="46" t="s">
        <v>124</v>
      </c>
      <c r="B590" s="13" t="s">
        <v>69</v>
      </c>
      <c r="C590" s="13" t="s">
        <v>67</v>
      </c>
      <c r="D590" s="45" t="s">
        <v>450</v>
      </c>
      <c r="E590" s="13" t="s">
        <v>125</v>
      </c>
      <c r="F590" s="14">
        <f>'пр. 4 Вед'!G612</f>
        <v>597</v>
      </c>
      <c r="G590" s="14">
        <f>'пр. 4 Вед'!H612</f>
        <v>595.1</v>
      </c>
      <c r="H590" s="14">
        <f t="shared" si="93"/>
        <v>1.8999999999999773</v>
      </c>
      <c r="I590" s="77">
        <f t="shared" si="94"/>
        <v>99.6817420435511</v>
      </c>
      <c r="L590" s="192"/>
      <c r="M590" s="192"/>
      <c r="N590" s="192"/>
      <c r="O590" s="192"/>
      <c r="P590" s="192"/>
      <c r="Q590" s="192"/>
    </row>
    <row r="591" spans="1:17" s="27" customFormat="1" ht="12.75">
      <c r="A591" s="46" t="s">
        <v>200</v>
      </c>
      <c r="B591" s="13" t="s">
        <v>69</v>
      </c>
      <c r="C591" s="13" t="s">
        <v>67</v>
      </c>
      <c r="D591" s="45" t="s">
        <v>457</v>
      </c>
      <c r="E591" s="13"/>
      <c r="F591" s="14">
        <f aca="true" t="shared" si="96" ref="F591:G593">F592</f>
        <v>254.2</v>
      </c>
      <c r="G591" s="14">
        <f t="shared" si="96"/>
        <v>86.2</v>
      </c>
      <c r="H591" s="14">
        <f t="shared" si="93"/>
        <v>168</v>
      </c>
      <c r="I591" s="77">
        <f t="shared" si="94"/>
        <v>33.91030684500394</v>
      </c>
      <c r="L591" s="192"/>
      <c r="M591" s="192"/>
      <c r="N591" s="192"/>
      <c r="O591" s="192"/>
      <c r="P591" s="192"/>
      <c r="Q591" s="192"/>
    </row>
    <row r="592" spans="1:17" s="27" customFormat="1" ht="25.5">
      <c r="A592" s="46" t="s">
        <v>114</v>
      </c>
      <c r="B592" s="13" t="s">
        <v>69</v>
      </c>
      <c r="C592" s="13" t="s">
        <v>67</v>
      </c>
      <c r="D592" s="45" t="s">
        <v>457</v>
      </c>
      <c r="E592" s="13" t="s">
        <v>115</v>
      </c>
      <c r="F592" s="14">
        <f t="shared" si="96"/>
        <v>254.2</v>
      </c>
      <c r="G592" s="14">
        <f t="shared" si="96"/>
        <v>86.2</v>
      </c>
      <c r="H592" s="14">
        <f t="shared" si="93"/>
        <v>168</v>
      </c>
      <c r="I592" s="77">
        <f t="shared" si="94"/>
        <v>33.91030684500394</v>
      </c>
      <c r="L592" s="192"/>
      <c r="M592" s="192"/>
      <c r="N592" s="192"/>
      <c r="O592" s="192"/>
      <c r="P592" s="192"/>
      <c r="Q592" s="192"/>
    </row>
    <row r="593" spans="1:17" s="27" customFormat="1" ht="12.75">
      <c r="A593" s="46" t="s">
        <v>120</v>
      </c>
      <c r="B593" s="13" t="s">
        <v>69</v>
      </c>
      <c r="C593" s="13" t="s">
        <v>67</v>
      </c>
      <c r="D593" s="45" t="s">
        <v>457</v>
      </c>
      <c r="E593" s="13" t="s">
        <v>121</v>
      </c>
      <c r="F593" s="14">
        <f t="shared" si="96"/>
        <v>254.2</v>
      </c>
      <c r="G593" s="14">
        <f t="shared" si="96"/>
        <v>86.2</v>
      </c>
      <c r="H593" s="14">
        <f t="shared" si="93"/>
        <v>168</v>
      </c>
      <c r="I593" s="77">
        <f t="shared" si="94"/>
        <v>33.91030684500394</v>
      </c>
      <c r="L593" s="192"/>
      <c r="M593" s="192"/>
      <c r="N593" s="192"/>
      <c r="O593" s="192"/>
      <c r="P593" s="192"/>
      <c r="Q593" s="192"/>
    </row>
    <row r="594" spans="1:17" s="27" customFormat="1" ht="12.75">
      <c r="A594" s="46" t="s">
        <v>124</v>
      </c>
      <c r="B594" s="13" t="s">
        <v>69</v>
      </c>
      <c r="C594" s="13" t="s">
        <v>67</v>
      </c>
      <c r="D594" s="45" t="s">
        <v>457</v>
      </c>
      <c r="E594" s="13" t="s">
        <v>125</v>
      </c>
      <c r="F594" s="14">
        <f>'пр. 4 Вед'!G616</f>
        <v>254.2</v>
      </c>
      <c r="G594" s="14">
        <f>'пр. 4 Вед'!H616</f>
        <v>86.2</v>
      </c>
      <c r="H594" s="14">
        <f t="shared" si="93"/>
        <v>168</v>
      </c>
      <c r="I594" s="77">
        <f t="shared" si="94"/>
        <v>33.91030684500394</v>
      </c>
      <c r="L594" s="192"/>
      <c r="M594" s="192"/>
      <c r="N594" s="192"/>
      <c r="O594" s="192"/>
      <c r="P594" s="192"/>
      <c r="Q594" s="192"/>
    </row>
    <row r="595" spans="1:17" s="27" customFormat="1" ht="12.75">
      <c r="A595" s="46" t="s">
        <v>201</v>
      </c>
      <c r="B595" s="13" t="s">
        <v>69</v>
      </c>
      <c r="C595" s="13" t="s">
        <v>67</v>
      </c>
      <c r="D595" s="45" t="s">
        <v>458</v>
      </c>
      <c r="E595" s="13"/>
      <c r="F595" s="14">
        <f aca="true" t="shared" si="97" ref="F595:G597">F596</f>
        <v>20</v>
      </c>
      <c r="G595" s="14">
        <f t="shared" si="97"/>
        <v>20</v>
      </c>
      <c r="H595" s="14">
        <f t="shared" si="93"/>
        <v>0</v>
      </c>
      <c r="I595" s="77">
        <f t="shared" si="94"/>
        <v>100</v>
      </c>
      <c r="L595" s="192"/>
      <c r="M595" s="192"/>
      <c r="N595" s="192"/>
      <c r="O595" s="192"/>
      <c r="P595" s="192"/>
      <c r="Q595" s="192"/>
    </row>
    <row r="596" spans="1:17" s="27" customFormat="1" ht="25.5">
      <c r="A596" s="46" t="s">
        <v>114</v>
      </c>
      <c r="B596" s="13" t="s">
        <v>69</v>
      </c>
      <c r="C596" s="13" t="s">
        <v>67</v>
      </c>
      <c r="D596" s="45" t="s">
        <v>458</v>
      </c>
      <c r="E596" s="13" t="s">
        <v>115</v>
      </c>
      <c r="F596" s="14">
        <f t="shared" si="97"/>
        <v>20</v>
      </c>
      <c r="G596" s="14">
        <f t="shared" si="97"/>
        <v>20</v>
      </c>
      <c r="H596" s="14">
        <f t="shared" si="93"/>
        <v>0</v>
      </c>
      <c r="I596" s="77">
        <f t="shared" si="94"/>
        <v>100</v>
      </c>
      <c r="L596" s="192"/>
      <c r="M596" s="192"/>
      <c r="N596" s="192"/>
      <c r="O596" s="192"/>
      <c r="P596" s="192"/>
      <c r="Q596" s="192"/>
    </row>
    <row r="597" spans="1:17" s="27" customFormat="1" ht="12.75">
      <c r="A597" s="46" t="s">
        <v>120</v>
      </c>
      <c r="B597" s="13" t="s">
        <v>69</v>
      </c>
      <c r="C597" s="13" t="s">
        <v>67</v>
      </c>
      <c r="D597" s="45" t="s">
        <v>458</v>
      </c>
      <c r="E597" s="13" t="s">
        <v>121</v>
      </c>
      <c r="F597" s="14">
        <f t="shared" si="97"/>
        <v>20</v>
      </c>
      <c r="G597" s="14">
        <f t="shared" si="97"/>
        <v>20</v>
      </c>
      <c r="H597" s="14">
        <f t="shared" si="93"/>
        <v>0</v>
      </c>
      <c r="I597" s="77">
        <f t="shared" si="94"/>
        <v>100</v>
      </c>
      <c r="L597" s="192"/>
      <c r="M597" s="192"/>
      <c r="N597" s="192"/>
      <c r="O597" s="192"/>
      <c r="P597" s="192"/>
      <c r="Q597" s="192"/>
    </row>
    <row r="598" spans="1:17" s="27" customFormat="1" ht="12.75">
      <c r="A598" s="46" t="s">
        <v>124</v>
      </c>
      <c r="B598" s="13" t="s">
        <v>69</v>
      </c>
      <c r="C598" s="13" t="s">
        <v>67</v>
      </c>
      <c r="D598" s="45" t="s">
        <v>458</v>
      </c>
      <c r="E598" s="13" t="s">
        <v>125</v>
      </c>
      <c r="F598" s="14">
        <f>'пр. 4 Вед'!G620</f>
        <v>20</v>
      </c>
      <c r="G598" s="14">
        <f>'пр. 4 Вед'!H620</f>
        <v>20</v>
      </c>
      <c r="H598" s="14">
        <f t="shared" si="93"/>
        <v>0</v>
      </c>
      <c r="I598" s="77">
        <f t="shared" si="94"/>
        <v>100</v>
      </c>
      <c r="L598" s="192"/>
      <c r="M598" s="192"/>
      <c r="N598" s="192"/>
      <c r="O598" s="192"/>
      <c r="P598" s="192"/>
      <c r="Q598" s="192"/>
    </row>
    <row r="599" spans="1:17" s="27" customFormat="1" ht="25.5">
      <c r="A599" s="46" t="s">
        <v>360</v>
      </c>
      <c r="B599" s="12" t="s">
        <v>69</v>
      </c>
      <c r="C599" s="12" t="s">
        <v>67</v>
      </c>
      <c r="D599" s="45" t="s">
        <v>203</v>
      </c>
      <c r="E599" s="12"/>
      <c r="F599" s="14">
        <f>F600</f>
        <v>2915.7999999999997</v>
      </c>
      <c r="G599" s="14">
        <f>G600</f>
        <v>2402.6</v>
      </c>
      <c r="H599" s="14">
        <f t="shared" si="93"/>
        <v>513.1999999999998</v>
      </c>
      <c r="I599" s="77">
        <f t="shared" si="94"/>
        <v>82.39934151862268</v>
      </c>
      <c r="L599" s="192"/>
      <c r="M599" s="192"/>
      <c r="N599" s="192"/>
      <c r="O599" s="192"/>
      <c r="P599" s="192"/>
      <c r="Q599" s="192"/>
    </row>
    <row r="600" spans="1:17" s="27" customFormat="1" ht="25.5">
      <c r="A600" s="46" t="s">
        <v>354</v>
      </c>
      <c r="B600" s="13" t="s">
        <v>69</v>
      </c>
      <c r="C600" s="13" t="s">
        <v>67</v>
      </c>
      <c r="D600" s="45" t="s">
        <v>451</v>
      </c>
      <c r="E600" s="13"/>
      <c r="F600" s="14">
        <f>F601+F605+F613+F609</f>
        <v>2915.7999999999997</v>
      </c>
      <c r="G600" s="14">
        <f>G601+G605+G613+G609</f>
        <v>2402.6</v>
      </c>
      <c r="H600" s="14">
        <f t="shared" si="93"/>
        <v>513.1999999999998</v>
      </c>
      <c r="I600" s="77">
        <f t="shared" si="94"/>
        <v>82.39934151862268</v>
      </c>
      <c r="L600" s="192"/>
      <c r="M600" s="192"/>
      <c r="N600" s="192"/>
      <c r="O600" s="192"/>
      <c r="P600" s="192"/>
      <c r="Q600" s="192"/>
    </row>
    <row r="601" spans="1:17" s="27" customFormat="1" ht="12.75">
      <c r="A601" s="46" t="s">
        <v>204</v>
      </c>
      <c r="B601" s="13" t="s">
        <v>69</v>
      </c>
      <c r="C601" s="13" t="s">
        <v>67</v>
      </c>
      <c r="D601" s="45" t="s">
        <v>452</v>
      </c>
      <c r="E601" s="13"/>
      <c r="F601" s="14">
        <f aca="true" t="shared" si="98" ref="F601:G603">F602</f>
        <v>90.6</v>
      </c>
      <c r="G601" s="14">
        <f t="shared" si="98"/>
        <v>90.4</v>
      </c>
      <c r="H601" s="14">
        <f t="shared" si="93"/>
        <v>0.19999999999998863</v>
      </c>
      <c r="I601" s="77">
        <f t="shared" si="94"/>
        <v>99.77924944812364</v>
      </c>
      <c r="L601" s="192"/>
      <c r="M601" s="192"/>
      <c r="N601" s="192"/>
      <c r="O601" s="192"/>
      <c r="P601" s="192"/>
      <c r="Q601" s="192"/>
    </row>
    <row r="602" spans="1:17" s="27" customFormat="1" ht="25.5">
      <c r="A602" s="46" t="s">
        <v>114</v>
      </c>
      <c r="B602" s="13" t="s">
        <v>69</v>
      </c>
      <c r="C602" s="13" t="s">
        <v>67</v>
      </c>
      <c r="D602" s="45" t="s">
        <v>452</v>
      </c>
      <c r="E602" s="13" t="s">
        <v>115</v>
      </c>
      <c r="F602" s="14">
        <f t="shared" si="98"/>
        <v>90.6</v>
      </c>
      <c r="G602" s="14">
        <f t="shared" si="98"/>
        <v>90.4</v>
      </c>
      <c r="H602" s="14">
        <f t="shared" si="93"/>
        <v>0.19999999999998863</v>
      </c>
      <c r="I602" s="77">
        <f t="shared" si="94"/>
        <v>99.77924944812364</v>
      </c>
      <c r="L602" s="192"/>
      <c r="M602" s="192"/>
      <c r="N602" s="192"/>
      <c r="O602" s="192"/>
      <c r="P602" s="192"/>
      <c r="Q602" s="192"/>
    </row>
    <row r="603" spans="1:17" s="27" customFormat="1" ht="12.75">
      <c r="A603" s="46" t="s">
        <v>120</v>
      </c>
      <c r="B603" s="13" t="s">
        <v>69</v>
      </c>
      <c r="C603" s="13" t="s">
        <v>67</v>
      </c>
      <c r="D603" s="45" t="s">
        <v>452</v>
      </c>
      <c r="E603" s="13" t="s">
        <v>121</v>
      </c>
      <c r="F603" s="14">
        <f t="shared" si="98"/>
        <v>90.6</v>
      </c>
      <c r="G603" s="14">
        <f t="shared" si="98"/>
        <v>90.4</v>
      </c>
      <c r="H603" s="14">
        <f t="shared" si="93"/>
        <v>0.19999999999998863</v>
      </c>
      <c r="I603" s="77">
        <f t="shared" si="94"/>
        <v>99.77924944812364</v>
      </c>
      <c r="L603" s="192"/>
      <c r="M603" s="192"/>
      <c r="N603" s="192"/>
      <c r="O603" s="192"/>
      <c r="P603" s="192"/>
      <c r="Q603" s="192"/>
    </row>
    <row r="604" spans="1:17" s="27" customFormat="1" ht="12.75">
      <c r="A604" s="46" t="s">
        <v>124</v>
      </c>
      <c r="B604" s="13" t="s">
        <v>69</v>
      </c>
      <c r="C604" s="13" t="s">
        <v>67</v>
      </c>
      <c r="D604" s="45" t="s">
        <v>452</v>
      </c>
      <c r="E604" s="13" t="s">
        <v>125</v>
      </c>
      <c r="F604" s="14">
        <f>'пр. 4 Вед'!G626</f>
        <v>90.6</v>
      </c>
      <c r="G604" s="14">
        <f>'пр. 4 Вед'!H626</f>
        <v>90.4</v>
      </c>
      <c r="H604" s="14">
        <f t="shared" si="93"/>
        <v>0.19999999999998863</v>
      </c>
      <c r="I604" s="77">
        <f t="shared" si="94"/>
        <v>99.77924944812364</v>
      </c>
      <c r="L604" s="192"/>
      <c r="M604" s="192"/>
      <c r="N604" s="192"/>
      <c r="O604" s="192"/>
      <c r="P604" s="192"/>
      <c r="Q604" s="192"/>
    </row>
    <row r="605" spans="1:17" s="27" customFormat="1" ht="12.75">
      <c r="A605" s="46" t="s">
        <v>212</v>
      </c>
      <c r="B605" s="13" t="s">
        <v>69</v>
      </c>
      <c r="C605" s="13" t="s">
        <v>67</v>
      </c>
      <c r="D605" s="45" t="s">
        <v>459</v>
      </c>
      <c r="E605" s="13"/>
      <c r="F605" s="14">
        <f aca="true" t="shared" si="99" ref="F605:G607">F606</f>
        <v>2018</v>
      </c>
      <c r="G605" s="14">
        <f t="shared" si="99"/>
        <v>1974.4</v>
      </c>
      <c r="H605" s="14">
        <f t="shared" si="93"/>
        <v>43.59999999999991</v>
      </c>
      <c r="I605" s="77">
        <f t="shared" si="94"/>
        <v>97.8394449950446</v>
      </c>
      <c r="L605" s="192"/>
      <c r="M605" s="192"/>
      <c r="N605" s="192"/>
      <c r="O605" s="192"/>
      <c r="P605" s="192"/>
      <c r="Q605" s="192"/>
    </row>
    <row r="606" spans="1:17" s="27" customFormat="1" ht="25.5">
      <c r="A606" s="46" t="s">
        <v>114</v>
      </c>
      <c r="B606" s="13" t="s">
        <v>69</v>
      </c>
      <c r="C606" s="13" t="s">
        <v>67</v>
      </c>
      <c r="D606" s="45" t="s">
        <v>459</v>
      </c>
      <c r="E606" s="13" t="s">
        <v>115</v>
      </c>
      <c r="F606" s="14">
        <f t="shared" si="99"/>
        <v>2018</v>
      </c>
      <c r="G606" s="14">
        <f t="shared" si="99"/>
        <v>1974.4</v>
      </c>
      <c r="H606" s="14">
        <f t="shared" si="93"/>
        <v>43.59999999999991</v>
      </c>
      <c r="I606" s="77">
        <f t="shared" si="94"/>
        <v>97.8394449950446</v>
      </c>
      <c r="L606" s="192"/>
      <c r="M606" s="192"/>
      <c r="N606" s="192"/>
      <c r="O606" s="192"/>
      <c r="P606" s="192"/>
      <c r="Q606" s="192"/>
    </row>
    <row r="607" spans="1:17" s="27" customFormat="1" ht="12.75">
      <c r="A607" s="46" t="s">
        <v>120</v>
      </c>
      <c r="B607" s="13" t="s">
        <v>69</v>
      </c>
      <c r="C607" s="13" t="s">
        <v>67</v>
      </c>
      <c r="D607" s="45" t="s">
        <v>459</v>
      </c>
      <c r="E607" s="13" t="s">
        <v>121</v>
      </c>
      <c r="F607" s="14">
        <f t="shared" si="99"/>
        <v>2018</v>
      </c>
      <c r="G607" s="14">
        <f t="shared" si="99"/>
        <v>1974.4</v>
      </c>
      <c r="H607" s="14">
        <f t="shared" si="93"/>
        <v>43.59999999999991</v>
      </c>
      <c r="I607" s="77">
        <f t="shared" si="94"/>
        <v>97.8394449950446</v>
      </c>
      <c r="L607" s="192"/>
      <c r="M607" s="192"/>
      <c r="N607" s="192"/>
      <c r="O607" s="192"/>
      <c r="P607" s="192"/>
      <c r="Q607" s="192"/>
    </row>
    <row r="608" spans="1:17" s="27" customFormat="1" ht="12.75">
      <c r="A608" s="46" t="s">
        <v>124</v>
      </c>
      <c r="B608" s="13" t="s">
        <v>69</v>
      </c>
      <c r="C608" s="13" t="s">
        <v>67</v>
      </c>
      <c r="D608" s="45" t="s">
        <v>459</v>
      </c>
      <c r="E608" s="13" t="s">
        <v>125</v>
      </c>
      <c r="F608" s="14">
        <f>'пр. 4 Вед'!G630</f>
        <v>2018</v>
      </c>
      <c r="G608" s="14">
        <f>'пр. 4 Вед'!H630</f>
        <v>1974.4</v>
      </c>
      <c r="H608" s="14">
        <f t="shared" si="93"/>
        <v>43.59999999999991</v>
      </c>
      <c r="I608" s="77">
        <f t="shared" si="94"/>
        <v>97.8394449950446</v>
      </c>
      <c r="L608" s="192"/>
      <c r="M608" s="192"/>
      <c r="N608" s="192"/>
      <c r="O608" s="192"/>
      <c r="P608" s="192"/>
      <c r="Q608" s="192"/>
    </row>
    <row r="609" spans="1:17" s="27" customFormat="1" ht="25.5">
      <c r="A609" s="25" t="s">
        <v>744</v>
      </c>
      <c r="B609" s="13" t="s">
        <v>69</v>
      </c>
      <c r="C609" s="13" t="s">
        <v>67</v>
      </c>
      <c r="D609" s="45" t="s">
        <v>680</v>
      </c>
      <c r="E609" s="13"/>
      <c r="F609" s="14">
        <f aca="true" t="shared" si="100" ref="F609:G611">F610</f>
        <v>773</v>
      </c>
      <c r="G609" s="14">
        <f t="shared" si="100"/>
        <v>303.6</v>
      </c>
      <c r="H609" s="14">
        <f t="shared" si="93"/>
        <v>469.4</v>
      </c>
      <c r="I609" s="77">
        <f t="shared" si="94"/>
        <v>39.275549805950845</v>
      </c>
      <c r="L609" s="192"/>
      <c r="M609" s="192"/>
      <c r="N609" s="192"/>
      <c r="O609" s="192"/>
      <c r="P609" s="192"/>
      <c r="Q609" s="192"/>
    </row>
    <row r="610" spans="1:17" s="27" customFormat="1" ht="25.5">
      <c r="A610" s="9" t="s">
        <v>114</v>
      </c>
      <c r="B610" s="13" t="s">
        <v>69</v>
      </c>
      <c r="C610" s="13" t="s">
        <v>67</v>
      </c>
      <c r="D610" s="45" t="s">
        <v>680</v>
      </c>
      <c r="E610" s="13" t="s">
        <v>115</v>
      </c>
      <c r="F610" s="14">
        <f t="shared" si="100"/>
        <v>773</v>
      </c>
      <c r="G610" s="14">
        <f t="shared" si="100"/>
        <v>303.6</v>
      </c>
      <c r="H610" s="14">
        <f t="shared" si="93"/>
        <v>469.4</v>
      </c>
      <c r="I610" s="77">
        <f t="shared" si="94"/>
        <v>39.275549805950845</v>
      </c>
      <c r="L610" s="192"/>
      <c r="M610" s="192"/>
      <c r="N610" s="192"/>
      <c r="O610" s="192"/>
      <c r="P610" s="192"/>
      <c r="Q610" s="192"/>
    </row>
    <row r="611" spans="1:17" s="27" customFormat="1" ht="12.75">
      <c r="A611" s="9" t="s">
        <v>120</v>
      </c>
      <c r="B611" s="13" t="s">
        <v>69</v>
      </c>
      <c r="C611" s="13" t="s">
        <v>67</v>
      </c>
      <c r="D611" s="45" t="s">
        <v>680</v>
      </c>
      <c r="E611" s="13" t="s">
        <v>121</v>
      </c>
      <c r="F611" s="14">
        <f t="shared" si="100"/>
        <v>773</v>
      </c>
      <c r="G611" s="14">
        <f t="shared" si="100"/>
        <v>303.6</v>
      </c>
      <c r="H611" s="14">
        <f t="shared" si="93"/>
        <v>469.4</v>
      </c>
      <c r="I611" s="77">
        <f t="shared" si="94"/>
        <v>39.275549805950845</v>
      </c>
      <c r="L611" s="192"/>
      <c r="M611" s="192"/>
      <c r="N611" s="192"/>
      <c r="O611" s="192"/>
      <c r="P611" s="192"/>
      <c r="Q611" s="192"/>
    </row>
    <row r="612" spans="1:17" s="27" customFormat="1" ht="12.75">
      <c r="A612" s="9" t="s">
        <v>124</v>
      </c>
      <c r="B612" s="13" t="s">
        <v>69</v>
      </c>
      <c r="C612" s="13" t="s">
        <v>67</v>
      </c>
      <c r="D612" s="45" t="s">
        <v>680</v>
      </c>
      <c r="E612" s="13" t="s">
        <v>125</v>
      </c>
      <c r="F612" s="14">
        <f>'пр. 4 Вед'!G634</f>
        <v>773</v>
      </c>
      <c r="G612" s="14">
        <f>'пр. 4 Вед'!H634</f>
        <v>303.6</v>
      </c>
      <c r="H612" s="14">
        <f t="shared" si="93"/>
        <v>469.4</v>
      </c>
      <c r="I612" s="77">
        <f t="shared" si="94"/>
        <v>39.275549805950845</v>
      </c>
      <c r="L612" s="192"/>
      <c r="M612" s="192"/>
      <c r="N612" s="192"/>
      <c r="O612" s="192"/>
      <c r="P612" s="192"/>
      <c r="Q612" s="192"/>
    </row>
    <row r="613" spans="1:17" s="27" customFormat="1" ht="12.75">
      <c r="A613" s="46" t="s">
        <v>386</v>
      </c>
      <c r="B613" s="13" t="s">
        <v>69</v>
      </c>
      <c r="C613" s="13" t="s">
        <v>67</v>
      </c>
      <c r="D613" s="45" t="s">
        <v>460</v>
      </c>
      <c r="E613" s="13"/>
      <c r="F613" s="14">
        <f aca="true" t="shared" si="101" ref="F613:G615">F614</f>
        <v>34.2</v>
      </c>
      <c r="G613" s="14">
        <f t="shared" si="101"/>
        <v>34.2</v>
      </c>
      <c r="H613" s="14">
        <f t="shared" si="93"/>
        <v>0</v>
      </c>
      <c r="I613" s="77">
        <f t="shared" si="94"/>
        <v>100</v>
      </c>
      <c r="L613" s="192"/>
      <c r="M613" s="192"/>
      <c r="N613" s="192"/>
      <c r="O613" s="192"/>
      <c r="P613" s="192"/>
      <c r="Q613" s="192"/>
    </row>
    <row r="614" spans="1:17" s="27" customFormat="1" ht="25.5">
      <c r="A614" s="46" t="s">
        <v>114</v>
      </c>
      <c r="B614" s="13" t="s">
        <v>69</v>
      </c>
      <c r="C614" s="13" t="s">
        <v>67</v>
      </c>
      <c r="D614" s="45" t="s">
        <v>460</v>
      </c>
      <c r="E614" s="13" t="s">
        <v>115</v>
      </c>
      <c r="F614" s="14">
        <f t="shared" si="101"/>
        <v>34.2</v>
      </c>
      <c r="G614" s="14">
        <f t="shared" si="101"/>
        <v>34.2</v>
      </c>
      <c r="H614" s="14">
        <f t="shared" si="93"/>
        <v>0</v>
      </c>
      <c r="I614" s="77">
        <f t="shared" si="94"/>
        <v>100</v>
      </c>
      <c r="L614" s="192"/>
      <c r="M614" s="192"/>
      <c r="N614" s="192"/>
      <c r="O614" s="192"/>
      <c r="P614" s="192"/>
      <c r="Q614" s="192"/>
    </row>
    <row r="615" spans="1:17" s="27" customFormat="1" ht="12.75">
      <c r="A615" s="46" t="s">
        <v>120</v>
      </c>
      <c r="B615" s="13" t="s">
        <v>69</v>
      </c>
      <c r="C615" s="13" t="s">
        <v>67</v>
      </c>
      <c r="D615" s="45" t="s">
        <v>460</v>
      </c>
      <c r="E615" s="13" t="s">
        <v>121</v>
      </c>
      <c r="F615" s="14">
        <f t="shared" si="101"/>
        <v>34.2</v>
      </c>
      <c r="G615" s="14">
        <f t="shared" si="101"/>
        <v>34.2</v>
      </c>
      <c r="H615" s="14">
        <f t="shared" si="93"/>
        <v>0</v>
      </c>
      <c r="I615" s="77">
        <f t="shared" si="94"/>
        <v>100</v>
      </c>
      <c r="L615" s="192"/>
      <c r="M615" s="192"/>
      <c r="N615" s="192"/>
      <c r="O615" s="192"/>
      <c r="P615" s="192"/>
      <c r="Q615" s="192"/>
    </row>
    <row r="616" spans="1:17" s="27" customFormat="1" ht="12.75">
      <c r="A616" s="46" t="s">
        <v>124</v>
      </c>
      <c r="B616" s="13" t="s">
        <v>69</v>
      </c>
      <c r="C616" s="13" t="s">
        <v>67</v>
      </c>
      <c r="D616" s="45" t="s">
        <v>460</v>
      </c>
      <c r="E616" s="13" t="s">
        <v>125</v>
      </c>
      <c r="F616" s="14">
        <f>'пр. 4 Вед'!G638</f>
        <v>34.2</v>
      </c>
      <c r="G616" s="14">
        <f>'пр. 4 Вед'!H638</f>
        <v>34.2</v>
      </c>
      <c r="H616" s="14">
        <f t="shared" si="93"/>
        <v>0</v>
      </c>
      <c r="I616" s="77">
        <f t="shared" si="94"/>
        <v>100</v>
      </c>
      <c r="L616" s="192"/>
      <c r="M616" s="192"/>
      <c r="N616" s="192"/>
      <c r="O616" s="192"/>
      <c r="P616" s="192"/>
      <c r="Q616" s="192"/>
    </row>
    <row r="617" spans="1:17" s="27" customFormat="1" ht="25.5">
      <c r="A617" s="46" t="s">
        <v>361</v>
      </c>
      <c r="B617" s="13" t="s">
        <v>69</v>
      </c>
      <c r="C617" s="13" t="s">
        <v>67</v>
      </c>
      <c r="D617" s="45" t="s">
        <v>206</v>
      </c>
      <c r="E617" s="13"/>
      <c r="F617" s="14">
        <f>F618</f>
        <v>1645.9999999999998</v>
      </c>
      <c r="G617" s="14">
        <f>G618</f>
        <v>1645.6</v>
      </c>
      <c r="H617" s="14">
        <f t="shared" si="93"/>
        <v>0.3999999999998636</v>
      </c>
      <c r="I617" s="77">
        <f t="shared" si="94"/>
        <v>99.9756986634265</v>
      </c>
      <c r="L617" s="192"/>
      <c r="M617" s="192"/>
      <c r="N617" s="192"/>
      <c r="O617" s="192"/>
      <c r="P617" s="192"/>
      <c r="Q617" s="192"/>
    </row>
    <row r="618" spans="1:17" s="27" customFormat="1" ht="25.5">
      <c r="A618" s="46" t="s">
        <v>290</v>
      </c>
      <c r="B618" s="13" t="s">
        <v>69</v>
      </c>
      <c r="C618" s="13" t="s">
        <v>67</v>
      </c>
      <c r="D618" s="45" t="s">
        <v>453</v>
      </c>
      <c r="E618" s="13"/>
      <c r="F618" s="14">
        <f>F619+F623+F631+F635+F627</f>
        <v>1645.9999999999998</v>
      </c>
      <c r="G618" s="14">
        <f>G619+G623+G631+G635+G627</f>
        <v>1645.6</v>
      </c>
      <c r="H618" s="14">
        <f t="shared" si="93"/>
        <v>0.3999999999998636</v>
      </c>
      <c r="I618" s="77">
        <f t="shared" si="94"/>
        <v>99.9756986634265</v>
      </c>
      <c r="L618" s="192"/>
      <c r="M618" s="192"/>
      <c r="N618" s="192"/>
      <c r="O618" s="192"/>
      <c r="P618" s="192"/>
      <c r="Q618" s="192"/>
    </row>
    <row r="619" spans="1:17" s="27" customFormat="1" ht="12.75">
      <c r="A619" s="46" t="s">
        <v>205</v>
      </c>
      <c r="B619" s="13" t="s">
        <v>69</v>
      </c>
      <c r="C619" s="13" t="s">
        <v>67</v>
      </c>
      <c r="D619" s="45" t="s">
        <v>454</v>
      </c>
      <c r="E619" s="13"/>
      <c r="F619" s="14">
        <f aca="true" t="shared" si="102" ref="F619:G621">F620</f>
        <v>1077.1</v>
      </c>
      <c r="G619" s="14">
        <f t="shared" si="102"/>
        <v>1076.8</v>
      </c>
      <c r="H619" s="14">
        <f t="shared" si="93"/>
        <v>0.2999999999999545</v>
      </c>
      <c r="I619" s="77">
        <f t="shared" si="94"/>
        <v>99.97214743292174</v>
      </c>
      <c r="L619" s="192"/>
      <c r="M619" s="192"/>
      <c r="N619" s="192"/>
      <c r="O619" s="192"/>
      <c r="P619" s="192"/>
      <c r="Q619" s="192"/>
    </row>
    <row r="620" spans="1:17" s="27" customFormat="1" ht="25.5">
      <c r="A620" s="46" t="s">
        <v>114</v>
      </c>
      <c r="B620" s="13" t="s">
        <v>69</v>
      </c>
      <c r="C620" s="13" t="s">
        <v>67</v>
      </c>
      <c r="D620" s="45" t="s">
        <v>454</v>
      </c>
      <c r="E620" s="13" t="s">
        <v>115</v>
      </c>
      <c r="F620" s="14">
        <f t="shared" si="102"/>
        <v>1077.1</v>
      </c>
      <c r="G620" s="14">
        <f t="shared" si="102"/>
        <v>1076.8</v>
      </c>
      <c r="H620" s="14">
        <f t="shared" si="93"/>
        <v>0.2999999999999545</v>
      </c>
      <c r="I620" s="77">
        <f t="shared" si="94"/>
        <v>99.97214743292174</v>
      </c>
      <c r="L620" s="192"/>
      <c r="M620" s="192"/>
      <c r="N620" s="192"/>
      <c r="O620" s="192"/>
      <c r="P620" s="192"/>
      <c r="Q620" s="192"/>
    </row>
    <row r="621" spans="1:17" s="27" customFormat="1" ht="12.75">
      <c r="A621" s="46" t="s">
        <v>120</v>
      </c>
      <c r="B621" s="13" t="s">
        <v>69</v>
      </c>
      <c r="C621" s="13" t="s">
        <v>67</v>
      </c>
      <c r="D621" s="45" t="s">
        <v>454</v>
      </c>
      <c r="E621" s="13" t="s">
        <v>121</v>
      </c>
      <c r="F621" s="14">
        <f t="shared" si="102"/>
        <v>1077.1</v>
      </c>
      <c r="G621" s="14">
        <f t="shared" si="102"/>
        <v>1076.8</v>
      </c>
      <c r="H621" s="14">
        <f t="shared" si="93"/>
        <v>0.2999999999999545</v>
      </c>
      <c r="I621" s="77">
        <f t="shared" si="94"/>
        <v>99.97214743292174</v>
      </c>
      <c r="L621" s="192"/>
      <c r="M621" s="192"/>
      <c r="N621" s="192"/>
      <c r="O621" s="192"/>
      <c r="P621" s="192"/>
      <c r="Q621" s="192"/>
    </row>
    <row r="622" spans="1:17" s="27" customFormat="1" ht="12.75">
      <c r="A622" s="46" t="s">
        <v>124</v>
      </c>
      <c r="B622" s="13" t="s">
        <v>69</v>
      </c>
      <c r="C622" s="13" t="s">
        <v>67</v>
      </c>
      <c r="D622" s="45" t="s">
        <v>454</v>
      </c>
      <c r="E622" s="13" t="s">
        <v>125</v>
      </c>
      <c r="F622" s="14">
        <f>'пр. 4 Вед'!G644+'пр. 4 Вед'!G836</f>
        <v>1077.1</v>
      </c>
      <c r="G622" s="14">
        <f>'пр. 4 Вед'!H644+'пр. 4 Вед'!H836</f>
        <v>1076.8</v>
      </c>
      <c r="H622" s="14">
        <f t="shared" si="93"/>
        <v>0.2999999999999545</v>
      </c>
      <c r="I622" s="77">
        <f t="shared" si="94"/>
        <v>99.97214743292174</v>
      </c>
      <c r="L622" s="192"/>
      <c r="M622" s="192"/>
      <c r="N622" s="192"/>
      <c r="O622" s="192"/>
      <c r="P622" s="192"/>
      <c r="Q622" s="192"/>
    </row>
    <row r="623" spans="1:17" s="27" customFormat="1" ht="12.75">
      <c r="A623" s="46" t="s">
        <v>213</v>
      </c>
      <c r="B623" s="13" t="s">
        <v>69</v>
      </c>
      <c r="C623" s="13" t="s">
        <v>67</v>
      </c>
      <c r="D623" s="45" t="s">
        <v>461</v>
      </c>
      <c r="E623" s="13"/>
      <c r="F623" s="14">
        <f aca="true" t="shared" si="103" ref="F623:G625">F624</f>
        <v>155.7</v>
      </c>
      <c r="G623" s="14">
        <f t="shared" si="103"/>
        <v>155.7</v>
      </c>
      <c r="H623" s="14">
        <f t="shared" si="93"/>
        <v>0</v>
      </c>
      <c r="I623" s="77">
        <f t="shared" si="94"/>
        <v>100</v>
      </c>
      <c r="L623" s="192"/>
      <c r="M623" s="192"/>
      <c r="N623" s="192"/>
      <c r="O623" s="192"/>
      <c r="P623" s="192"/>
      <c r="Q623" s="192"/>
    </row>
    <row r="624" spans="1:17" s="27" customFormat="1" ht="25.5">
      <c r="A624" s="46" t="s">
        <v>114</v>
      </c>
      <c r="B624" s="13" t="s">
        <v>69</v>
      </c>
      <c r="C624" s="13" t="s">
        <v>67</v>
      </c>
      <c r="D624" s="45" t="s">
        <v>461</v>
      </c>
      <c r="E624" s="13" t="s">
        <v>115</v>
      </c>
      <c r="F624" s="14">
        <f t="shared" si="103"/>
        <v>155.7</v>
      </c>
      <c r="G624" s="14">
        <f t="shared" si="103"/>
        <v>155.7</v>
      </c>
      <c r="H624" s="14">
        <f t="shared" si="93"/>
        <v>0</v>
      </c>
      <c r="I624" s="77">
        <f t="shared" si="94"/>
        <v>100</v>
      </c>
      <c r="L624" s="192"/>
      <c r="M624" s="192"/>
      <c r="N624" s="192"/>
      <c r="O624" s="192"/>
      <c r="P624" s="192"/>
      <c r="Q624" s="192"/>
    </row>
    <row r="625" spans="1:17" s="27" customFormat="1" ht="12.75">
      <c r="A625" s="46" t="s">
        <v>120</v>
      </c>
      <c r="B625" s="13" t="s">
        <v>69</v>
      </c>
      <c r="C625" s="13" t="s">
        <v>67</v>
      </c>
      <c r="D625" s="45" t="s">
        <v>461</v>
      </c>
      <c r="E625" s="13" t="s">
        <v>121</v>
      </c>
      <c r="F625" s="14">
        <f t="shared" si="103"/>
        <v>155.7</v>
      </c>
      <c r="G625" s="14">
        <f t="shared" si="103"/>
        <v>155.7</v>
      </c>
      <c r="H625" s="14">
        <f t="shared" si="93"/>
        <v>0</v>
      </c>
      <c r="I625" s="77">
        <f t="shared" si="94"/>
        <v>100</v>
      </c>
      <c r="L625" s="192"/>
      <c r="M625" s="192"/>
      <c r="N625" s="192"/>
      <c r="O625" s="192"/>
      <c r="P625" s="192"/>
      <c r="Q625" s="192"/>
    </row>
    <row r="626" spans="1:17" s="27" customFormat="1" ht="12.75">
      <c r="A626" s="46" t="s">
        <v>124</v>
      </c>
      <c r="B626" s="13" t="s">
        <v>69</v>
      </c>
      <c r="C626" s="13" t="s">
        <v>67</v>
      </c>
      <c r="D626" s="45" t="s">
        <v>461</v>
      </c>
      <c r="E626" s="13" t="s">
        <v>125</v>
      </c>
      <c r="F626" s="14">
        <f>'пр. 4 Вед'!G648+'пр. 4 Вед'!G840</f>
        <v>155.7</v>
      </c>
      <c r="G626" s="14">
        <f>'пр. 4 Вед'!H648+'пр. 4 Вед'!H840</f>
        <v>155.7</v>
      </c>
      <c r="H626" s="14">
        <f t="shared" si="93"/>
        <v>0</v>
      </c>
      <c r="I626" s="77">
        <f t="shared" si="94"/>
        <v>100</v>
      </c>
      <c r="L626" s="192"/>
      <c r="M626" s="192"/>
      <c r="N626" s="192"/>
      <c r="O626" s="192"/>
      <c r="P626" s="192"/>
      <c r="Q626" s="192"/>
    </row>
    <row r="627" spans="1:17" s="27" customFormat="1" ht="12.75">
      <c r="A627" s="46" t="s">
        <v>226</v>
      </c>
      <c r="B627" s="13" t="s">
        <v>69</v>
      </c>
      <c r="C627" s="13" t="s">
        <v>67</v>
      </c>
      <c r="D627" s="45" t="s">
        <v>480</v>
      </c>
      <c r="E627" s="13"/>
      <c r="F627" s="14">
        <f aca="true" t="shared" si="104" ref="F627:G629">F628</f>
        <v>9</v>
      </c>
      <c r="G627" s="14">
        <f t="shared" si="104"/>
        <v>9</v>
      </c>
      <c r="H627" s="14">
        <f t="shared" si="93"/>
        <v>0</v>
      </c>
      <c r="I627" s="77">
        <f t="shared" si="94"/>
        <v>100</v>
      </c>
      <c r="L627" s="192"/>
      <c r="M627" s="192"/>
      <c r="N627" s="192"/>
      <c r="O627" s="192"/>
      <c r="P627" s="192"/>
      <c r="Q627" s="192"/>
    </row>
    <row r="628" spans="1:17" s="27" customFormat="1" ht="25.5">
      <c r="A628" s="46" t="s">
        <v>114</v>
      </c>
      <c r="B628" s="13" t="s">
        <v>69</v>
      </c>
      <c r="C628" s="13" t="s">
        <v>67</v>
      </c>
      <c r="D628" s="45" t="s">
        <v>480</v>
      </c>
      <c r="E628" s="13" t="s">
        <v>115</v>
      </c>
      <c r="F628" s="14">
        <f t="shared" si="104"/>
        <v>9</v>
      </c>
      <c r="G628" s="14">
        <f t="shared" si="104"/>
        <v>9</v>
      </c>
      <c r="H628" s="14">
        <f t="shared" si="93"/>
        <v>0</v>
      </c>
      <c r="I628" s="77">
        <f t="shared" si="94"/>
        <v>100</v>
      </c>
      <c r="L628" s="192"/>
      <c r="M628" s="192"/>
      <c r="N628" s="192"/>
      <c r="O628" s="192"/>
      <c r="P628" s="192"/>
      <c r="Q628" s="192"/>
    </row>
    <row r="629" spans="1:17" s="27" customFormat="1" ht="12.75">
      <c r="A629" s="46" t="s">
        <v>120</v>
      </c>
      <c r="B629" s="13" t="s">
        <v>69</v>
      </c>
      <c r="C629" s="13" t="s">
        <v>67</v>
      </c>
      <c r="D629" s="45" t="s">
        <v>480</v>
      </c>
      <c r="E629" s="13" t="s">
        <v>121</v>
      </c>
      <c r="F629" s="14">
        <f t="shared" si="104"/>
        <v>9</v>
      </c>
      <c r="G629" s="14">
        <f t="shared" si="104"/>
        <v>9</v>
      </c>
      <c r="H629" s="14">
        <f t="shared" si="93"/>
        <v>0</v>
      </c>
      <c r="I629" s="77">
        <f t="shared" si="94"/>
        <v>100</v>
      </c>
      <c r="L629" s="192"/>
      <c r="M629" s="192"/>
      <c r="N629" s="192"/>
      <c r="O629" s="192"/>
      <c r="P629" s="192"/>
      <c r="Q629" s="192"/>
    </row>
    <row r="630" spans="1:17" s="27" customFormat="1" ht="12.75">
      <c r="A630" s="46" t="s">
        <v>124</v>
      </c>
      <c r="B630" s="13" t="s">
        <v>69</v>
      </c>
      <c r="C630" s="13" t="s">
        <v>67</v>
      </c>
      <c r="D630" s="45" t="s">
        <v>480</v>
      </c>
      <c r="E630" s="13" t="s">
        <v>125</v>
      </c>
      <c r="F630" s="14">
        <f>'пр. 4 Вед'!G844</f>
        <v>9</v>
      </c>
      <c r="G630" s="14">
        <f>'пр. 4 Вед'!H844</f>
        <v>9</v>
      </c>
      <c r="H630" s="14">
        <f t="shared" si="93"/>
        <v>0</v>
      </c>
      <c r="I630" s="77">
        <f t="shared" si="94"/>
        <v>100</v>
      </c>
      <c r="L630" s="192"/>
      <c r="M630" s="192"/>
      <c r="N630" s="192"/>
      <c r="O630" s="192"/>
      <c r="P630" s="192"/>
      <c r="Q630" s="192"/>
    </row>
    <row r="631" spans="1:17" s="27" customFormat="1" ht="12.75">
      <c r="A631" s="46" t="s">
        <v>384</v>
      </c>
      <c r="B631" s="13" t="s">
        <v>69</v>
      </c>
      <c r="C631" s="13" t="s">
        <v>67</v>
      </c>
      <c r="D631" s="45" t="s">
        <v>455</v>
      </c>
      <c r="E631" s="13"/>
      <c r="F631" s="14">
        <f aca="true" t="shared" si="105" ref="F631:G633">F632</f>
        <v>364.09999999999997</v>
      </c>
      <c r="G631" s="14">
        <f t="shared" si="105"/>
        <v>364.1</v>
      </c>
      <c r="H631" s="14">
        <f t="shared" si="93"/>
        <v>0</v>
      </c>
      <c r="I631" s="77">
        <f t="shared" si="94"/>
        <v>100.00000000000003</v>
      </c>
      <c r="L631" s="192"/>
      <c r="M631" s="192"/>
      <c r="N631" s="192"/>
      <c r="O631" s="192"/>
      <c r="P631" s="192"/>
      <c r="Q631" s="192"/>
    </row>
    <row r="632" spans="1:17" s="27" customFormat="1" ht="25.5">
      <c r="A632" s="46" t="s">
        <v>114</v>
      </c>
      <c r="B632" s="13" t="s">
        <v>69</v>
      </c>
      <c r="C632" s="13" t="s">
        <v>67</v>
      </c>
      <c r="D632" s="45" t="s">
        <v>455</v>
      </c>
      <c r="E632" s="13" t="s">
        <v>115</v>
      </c>
      <c r="F632" s="14">
        <f t="shared" si="105"/>
        <v>364.09999999999997</v>
      </c>
      <c r="G632" s="14">
        <f t="shared" si="105"/>
        <v>364.1</v>
      </c>
      <c r="H632" s="14">
        <f t="shared" si="93"/>
        <v>0</v>
      </c>
      <c r="I632" s="77">
        <f t="shared" si="94"/>
        <v>100.00000000000003</v>
      </c>
      <c r="L632" s="192"/>
      <c r="M632" s="192"/>
      <c r="N632" s="192"/>
      <c r="O632" s="192"/>
      <c r="P632" s="192"/>
      <c r="Q632" s="192"/>
    </row>
    <row r="633" spans="1:17" s="27" customFormat="1" ht="12.75">
      <c r="A633" s="46" t="s">
        <v>120</v>
      </c>
      <c r="B633" s="13" t="s">
        <v>69</v>
      </c>
      <c r="C633" s="13" t="s">
        <v>67</v>
      </c>
      <c r="D633" s="45" t="s">
        <v>455</v>
      </c>
      <c r="E633" s="13" t="s">
        <v>121</v>
      </c>
      <c r="F633" s="14">
        <f t="shared" si="105"/>
        <v>364.09999999999997</v>
      </c>
      <c r="G633" s="14">
        <f t="shared" si="105"/>
        <v>364.1</v>
      </c>
      <c r="H633" s="14">
        <f t="shared" si="93"/>
        <v>0</v>
      </c>
      <c r="I633" s="77">
        <f t="shared" si="94"/>
        <v>100.00000000000003</v>
      </c>
      <c r="L633" s="192"/>
      <c r="M633" s="192"/>
      <c r="N633" s="192"/>
      <c r="O633" s="192"/>
      <c r="P633" s="192"/>
      <c r="Q633" s="192"/>
    </row>
    <row r="634" spans="1:17" s="27" customFormat="1" ht="12.75">
      <c r="A634" s="46" t="s">
        <v>124</v>
      </c>
      <c r="B634" s="13" t="s">
        <v>69</v>
      </c>
      <c r="C634" s="13" t="s">
        <v>67</v>
      </c>
      <c r="D634" s="45" t="s">
        <v>455</v>
      </c>
      <c r="E634" s="13" t="s">
        <v>125</v>
      </c>
      <c r="F634" s="14">
        <f>'пр. 4 Вед'!G652</f>
        <v>364.09999999999997</v>
      </c>
      <c r="G634" s="14">
        <f>'пр. 4 Вед'!H652</f>
        <v>364.1</v>
      </c>
      <c r="H634" s="14">
        <f t="shared" si="93"/>
        <v>0</v>
      </c>
      <c r="I634" s="77">
        <f t="shared" si="94"/>
        <v>100.00000000000003</v>
      </c>
      <c r="L634" s="192"/>
      <c r="M634" s="192"/>
      <c r="N634" s="192"/>
      <c r="O634" s="192"/>
      <c r="P634" s="192"/>
      <c r="Q634" s="192"/>
    </row>
    <row r="635" spans="1:17" s="27" customFormat="1" ht="25.5">
      <c r="A635" s="46" t="s">
        <v>207</v>
      </c>
      <c r="B635" s="13" t="s">
        <v>69</v>
      </c>
      <c r="C635" s="13" t="s">
        <v>67</v>
      </c>
      <c r="D635" s="45" t="s">
        <v>456</v>
      </c>
      <c r="E635" s="13"/>
      <c r="F635" s="14">
        <f aca="true" t="shared" si="106" ref="F635:G637">F636</f>
        <v>40.1</v>
      </c>
      <c r="G635" s="14">
        <f t="shared" si="106"/>
        <v>40</v>
      </c>
      <c r="H635" s="14">
        <f t="shared" si="93"/>
        <v>0.10000000000000142</v>
      </c>
      <c r="I635" s="77">
        <f t="shared" si="94"/>
        <v>99.7506234413965</v>
      </c>
      <c r="L635" s="192"/>
      <c r="M635" s="192"/>
      <c r="N635" s="192"/>
      <c r="O635" s="192"/>
      <c r="P635" s="192"/>
      <c r="Q635" s="192"/>
    </row>
    <row r="636" spans="1:17" s="27" customFormat="1" ht="25.5">
      <c r="A636" s="46" t="s">
        <v>114</v>
      </c>
      <c r="B636" s="13" t="s">
        <v>69</v>
      </c>
      <c r="C636" s="13" t="s">
        <v>67</v>
      </c>
      <c r="D636" s="45" t="s">
        <v>456</v>
      </c>
      <c r="E636" s="13" t="s">
        <v>115</v>
      </c>
      <c r="F636" s="14">
        <f t="shared" si="106"/>
        <v>40.1</v>
      </c>
      <c r="G636" s="14">
        <f t="shared" si="106"/>
        <v>40</v>
      </c>
      <c r="H636" s="14">
        <f t="shared" si="93"/>
        <v>0.10000000000000142</v>
      </c>
      <c r="I636" s="77">
        <f t="shared" si="94"/>
        <v>99.7506234413965</v>
      </c>
      <c r="L636" s="192"/>
      <c r="M636" s="192"/>
      <c r="N636" s="192"/>
      <c r="O636" s="192"/>
      <c r="P636" s="192"/>
      <c r="Q636" s="192"/>
    </row>
    <row r="637" spans="1:17" s="27" customFormat="1" ht="12.75">
      <c r="A637" s="46" t="s">
        <v>120</v>
      </c>
      <c r="B637" s="13" t="s">
        <v>69</v>
      </c>
      <c r="C637" s="13" t="s">
        <v>67</v>
      </c>
      <c r="D637" s="45" t="s">
        <v>456</v>
      </c>
      <c r="E637" s="13" t="s">
        <v>121</v>
      </c>
      <c r="F637" s="14">
        <f t="shared" si="106"/>
        <v>40.1</v>
      </c>
      <c r="G637" s="14">
        <f t="shared" si="106"/>
        <v>40</v>
      </c>
      <c r="H637" s="14">
        <f t="shared" si="93"/>
        <v>0.10000000000000142</v>
      </c>
      <c r="I637" s="77">
        <f t="shared" si="94"/>
        <v>99.7506234413965</v>
      </c>
      <c r="L637" s="192"/>
      <c r="M637" s="192"/>
      <c r="N637" s="192"/>
      <c r="O637" s="192"/>
      <c r="P637" s="192"/>
      <c r="Q637" s="192"/>
    </row>
    <row r="638" spans="1:17" s="27" customFormat="1" ht="12.75">
      <c r="A638" s="46" t="s">
        <v>124</v>
      </c>
      <c r="B638" s="13" t="s">
        <v>69</v>
      </c>
      <c r="C638" s="13" t="s">
        <v>67</v>
      </c>
      <c r="D638" s="45" t="s">
        <v>456</v>
      </c>
      <c r="E638" s="13" t="s">
        <v>125</v>
      </c>
      <c r="F638" s="14">
        <f>'пр. 4 Вед'!G656</f>
        <v>40.1</v>
      </c>
      <c r="G638" s="14">
        <f>'пр. 4 Вед'!H656</f>
        <v>40</v>
      </c>
      <c r="H638" s="14">
        <f t="shared" si="93"/>
        <v>0.10000000000000142</v>
      </c>
      <c r="I638" s="77">
        <f t="shared" si="94"/>
        <v>99.7506234413965</v>
      </c>
      <c r="L638" s="192"/>
      <c r="M638" s="192"/>
      <c r="N638" s="192"/>
      <c r="O638" s="192"/>
      <c r="P638" s="192"/>
      <c r="Q638" s="192"/>
    </row>
    <row r="639" spans="1:17" s="27" customFormat="1" ht="12.75">
      <c r="A639" s="46" t="s">
        <v>503</v>
      </c>
      <c r="B639" s="13" t="s">
        <v>69</v>
      </c>
      <c r="C639" s="13" t="s">
        <v>67</v>
      </c>
      <c r="D639" s="13" t="s">
        <v>252</v>
      </c>
      <c r="E639" s="13"/>
      <c r="F639" s="14">
        <f>F640</f>
        <v>5403</v>
      </c>
      <c r="G639" s="14">
        <f>G640</f>
        <v>4754.4</v>
      </c>
      <c r="H639" s="14">
        <f t="shared" si="93"/>
        <v>648.6000000000004</v>
      </c>
      <c r="I639" s="77">
        <f t="shared" si="94"/>
        <v>87.99555802332037</v>
      </c>
      <c r="L639" s="192"/>
      <c r="M639" s="192"/>
      <c r="N639" s="192"/>
      <c r="O639" s="192"/>
      <c r="P639" s="192"/>
      <c r="Q639" s="192"/>
    </row>
    <row r="640" spans="1:17" s="27" customFormat="1" ht="12.75">
      <c r="A640" s="46" t="s">
        <v>504</v>
      </c>
      <c r="B640" s="13" t="s">
        <v>69</v>
      </c>
      <c r="C640" s="13" t="s">
        <v>67</v>
      </c>
      <c r="D640" s="13" t="s">
        <v>501</v>
      </c>
      <c r="E640" s="13"/>
      <c r="F640" s="14">
        <f>F641+F645</f>
        <v>5403</v>
      </c>
      <c r="G640" s="14">
        <f>G641+G645</f>
        <v>4754.4</v>
      </c>
      <c r="H640" s="14">
        <f t="shared" si="93"/>
        <v>648.6000000000004</v>
      </c>
      <c r="I640" s="77">
        <f t="shared" si="94"/>
        <v>87.99555802332037</v>
      </c>
      <c r="L640" s="192"/>
      <c r="M640" s="192"/>
      <c r="N640" s="192"/>
      <c r="O640" s="192"/>
      <c r="P640" s="192"/>
      <c r="Q640" s="192"/>
    </row>
    <row r="641" spans="1:17" s="27" customFormat="1" ht="38.25">
      <c r="A641" s="46" t="s">
        <v>271</v>
      </c>
      <c r="B641" s="13" t="s">
        <v>69</v>
      </c>
      <c r="C641" s="13" t="s">
        <v>67</v>
      </c>
      <c r="D641" s="13" t="s">
        <v>502</v>
      </c>
      <c r="E641" s="13"/>
      <c r="F641" s="14">
        <f aca="true" t="shared" si="107" ref="F641:G643">F642</f>
        <v>4702.4</v>
      </c>
      <c r="G641" s="14">
        <f t="shared" si="107"/>
        <v>4143</v>
      </c>
      <c r="H641" s="14">
        <f t="shared" si="93"/>
        <v>559.3999999999996</v>
      </c>
      <c r="I641" s="77">
        <f t="shared" si="94"/>
        <v>88.10394692072134</v>
      </c>
      <c r="L641" s="192"/>
      <c r="M641" s="192"/>
      <c r="N641" s="192"/>
      <c r="O641" s="192"/>
      <c r="P641" s="192"/>
      <c r="Q641" s="192"/>
    </row>
    <row r="642" spans="1:17" s="27" customFormat="1" ht="25.5">
      <c r="A642" s="46" t="s">
        <v>114</v>
      </c>
      <c r="B642" s="13" t="s">
        <v>69</v>
      </c>
      <c r="C642" s="13" t="s">
        <v>67</v>
      </c>
      <c r="D642" s="13" t="s">
        <v>502</v>
      </c>
      <c r="E642" s="13" t="s">
        <v>115</v>
      </c>
      <c r="F642" s="14">
        <f t="shared" si="107"/>
        <v>4702.4</v>
      </c>
      <c r="G642" s="14">
        <f t="shared" si="107"/>
        <v>4143</v>
      </c>
      <c r="H642" s="14">
        <f t="shared" si="93"/>
        <v>559.3999999999996</v>
      </c>
      <c r="I642" s="77">
        <f t="shared" si="94"/>
        <v>88.10394692072134</v>
      </c>
      <c r="L642" s="192"/>
      <c r="M642" s="192"/>
      <c r="N642" s="192"/>
      <c r="O642" s="192"/>
      <c r="P642" s="192"/>
      <c r="Q642" s="192"/>
    </row>
    <row r="643" spans="1:17" s="27" customFormat="1" ht="12.75">
      <c r="A643" s="46" t="s">
        <v>120</v>
      </c>
      <c r="B643" s="13" t="s">
        <v>69</v>
      </c>
      <c r="C643" s="13" t="s">
        <v>67</v>
      </c>
      <c r="D643" s="13" t="s">
        <v>502</v>
      </c>
      <c r="E643" s="13" t="s">
        <v>121</v>
      </c>
      <c r="F643" s="14">
        <f t="shared" si="107"/>
        <v>4702.4</v>
      </c>
      <c r="G643" s="14">
        <f t="shared" si="107"/>
        <v>4143</v>
      </c>
      <c r="H643" s="14">
        <f t="shared" si="93"/>
        <v>559.3999999999996</v>
      </c>
      <c r="I643" s="77">
        <f t="shared" si="94"/>
        <v>88.10394692072134</v>
      </c>
      <c r="L643" s="192"/>
      <c r="M643" s="192"/>
      <c r="N643" s="192"/>
      <c r="O643" s="192"/>
      <c r="P643" s="192"/>
      <c r="Q643" s="192"/>
    </row>
    <row r="644" spans="1:17" s="27" customFormat="1" ht="12.75">
      <c r="A644" s="46" t="s">
        <v>124</v>
      </c>
      <c r="B644" s="13" t="s">
        <v>69</v>
      </c>
      <c r="C644" s="13" t="s">
        <v>67</v>
      </c>
      <c r="D644" s="13" t="s">
        <v>502</v>
      </c>
      <c r="E644" s="13" t="s">
        <v>125</v>
      </c>
      <c r="F644" s="14">
        <f>'пр. 4 Вед'!G662+'пр. 4 Вед'!G850</f>
        <v>4702.4</v>
      </c>
      <c r="G644" s="14">
        <f>'пр. 4 Вед'!H662+'пр. 4 Вед'!H850</f>
        <v>4143</v>
      </c>
      <c r="H644" s="14">
        <f t="shared" si="93"/>
        <v>559.3999999999996</v>
      </c>
      <c r="I644" s="77">
        <f t="shared" si="94"/>
        <v>88.10394692072134</v>
      </c>
      <c r="L644" s="192"/>
      <c r="M644" s="192"/>
      <c r="N644" s="192"/>
      <c r="O644" s="192"/>
      <c r="P644" s="192"/>
      <c r="Q644" s="192"/>
    </row>
    <row r="645" spans="1:17" s="27" customFormat="1" ht="12.75">
      <c r="A645" s="46" t="s">
        <v>272</v>
      </c>
      <c r="B645" s="13" t="s">
        <v>69</v>
      </c>
      <c r="C645" s="13" t="s">
        <v>67</v>
      </c>
      <c r="D645" s="13" t="s">
        <v>505</v>
      </c>
      <c r="E645" s="13"/>
      <c r="F645" s="14">
        <f aca="true" t="shared" si="108" ref="F645:G647">F646</f>
        <v>700.6</v>
      </c>
      <c r="G645" s="14">
        <f t="shared" si="108"/>
        <v>611.4</v>
      </c>
      <c r="H645" s="14">
        <f t="shared" si="93"/>
        <v>89.20000000000005</v>
      </c>
      <c r="I645" s="77">
        <f t="shared" si="94"/>
        <v>87.2680559520411</v>
      </c>
      <c r="L645" s="192"/>
      <c r="M645" s="192"/>
      <c r="N645" s="192"/>
      <c r="O645" s="192"/>
      <c r="P645" s="192"/>
      <c r="Q645" s="192"/>
    </row>
    <row r="646" spans="1:17" s="27" customFormat="1" ht="25.5">
      <c r="A646" s="46" t="s">
        <v>114</v>
      </c>
      <c r="B646" s="13" t="s">
        <v>69</v>
      </c>
      <c r="C646" s="13" t="s">
        <v>67</v>
      </c>
      <c r="D646" s="13" t="s">
        <v>505</v>
      </c>
      <c r="E646" s="13" t="s">
        <v>115</v>
      </c>
      <c r="F646" s="14">
        <f t="shared" si="108"/>
        <v>700.6</v>
      </c>
      <c r="G646" s="14">
        <f t="shared" si="108"/>
        <v>611.4</v>
      </c>
      <c r="H646" s="14">
        <f t="shared" si="93"/>
        <v>89.20000000000005</v>
      </c>
      <c r="I646" s="77">
        <f t="shared" si="94"/>
        <v>87.2680559520411</v>
      </c>
      <c r="L646" s="192"/>
      <c r="M646" s="192"/>
      <c r="N646" s="192"/>
      <c r="O646" s="192"/>
      <c r="P646" s="192"/>
      <c r="Q646" s="192"/>
    </row>
    <row r="647" spans="1:17" s="27" customFormat="1" ht="12.75">
      <c r="A647" s="46" t="s">
        <v>120</v>
      </c>
      <c r="B647" s="13" t="s">
        <v>69</v>
      </c>
      <c r="C647" s="13" t="s">
        <v>67</v>
      </c>
      <c r="D647" s="13" t="s">
        <v>505</v>
      </c>
      <c r="E647" s="13" t="s">
        <v>121</v>
      </c>
      <c r="F647" s="14">
        <f t="shared" si="108"/>
        <v>700.6</v>
      </c>
      <c r="G647" s="14">
        <f t="shared" si="108"/>
        <v>611.4</v>
      </c>
      <c r="H647" s="14">
        <f t="shared" si="93"/>
        <v>89.20000000000005</v>
      </c>
      <c r="I647" s="77">
        <f t="shared" si="94"/>
        <v>87.2680559520411</v>
      </c>
      <c r="L647" s="192"/>
      <c r="M647" s="192"/>
      <c r="N647" s="192"/>
      <c r="O647" s="192"/>
      <c r="P647" s="192"/>
      <c r="Q647" s="192"/>
    </row>
    <row r="648" spans="1:17" s="27" customFormat="1" ht="12.75">
      <c r="A648" s="46" t="s">
        <v>124</v>
      </c>
      <c r="B648" s="13" t="s">
        <v>69</v>
      </c>
      <c r="C648" s="13" t="s">
        <v>67</v>
      </c>
      <c r="D648" s="13" t="s">
        <v>505</v>
      </c>
      <c r="E648" s="13" t="s">
        <v>125</v>
      </c>
      <c r="F648" s="14">
        <f>'пр. 4 Вед'!G666+'пр. 4 Вед'!G854</f>
        <v>700.6</v>
      </c>
      <c r="G648" s="14">
        <f>'пр. 4 Вед'!H666+'пр. 4 Вед'!H854</f>
        <v>611.4</v>
      </c>
      <c r="H648" s="14">
        <f t="shared" si="93"/>
        <v>89.20000000000005</v>
      </c>
      <c r="I648" s="77">
        <f t="shared" si="94"/>
        <v>87.2680559520411</v>
      </c>
      <c r="L648" s="192"/>
      <c r="M648" s="192"/>
      <c r="N648" s="192"/>
      <c r="O648" s="192"/>
      <c r="P648" s="192"/>
      <c r="Q648" s="192"/>
    </row>
    <row r="649" spans="1:17" s="27" customFormat="1" ht="12.75">
      <c r="A649" s="46" t="s">
        <v>60</v>
      </c>
      <c r="B649" s="13" t="s">
        <v>69</v>
      </c>
      <c r="C649" s="13" t="s">
        <v>67</v>
      </c>
      <c r="D649" s="13" t="s">
        <v>264</v>
      </c>
      <c r="E649" s="13"/>
      <c r="F649" s="14">
        <f aca="true" t="shared" si="109" ref="F649:G652">F650</f>
        <v>22557</v>
      </c>
      <c r="G649" s="14">
        <f t="shared" si="109"/>
        <v>22414.100000000002</v>
      </c>
      <c r="H649" s="14">
        <f aca="true" t="shared" si="110" ref="H649:H712">F649-G649</f>
        <v>142.89999999999782</v>
      </c>
      <c r="I649" s="77">
        <f aca="true" t="shared" si="111" ref="I649:I712">G649/F649*100</f>
        <v>99.36649377133485</v>
      </c>
      <c r="L649" s="192"/>
      <c r="M649" s="192"/>
      <c r="N649" s="192"/>
      <c r="O649" s="192"/>
      <c r="P649" s="192"/>
      <c r="Q649" s="192"/>
    </row>
    <row r="650" spans="1:17" s="27" customFormat="1" ht="25.5">
      <c r="A650" s="46" t="s">
        <v>289</v>
      </c>
      <c r="B650" s="13" t="s">
        <v>69</v>
      </c>
      <c r="C650" s="13" t="s">
        <v>67</v>
      </c>
      <c r="D650" s="13" t="s">
        <v>514</v>
      </c>
      <c r="E650" s="13"/>
      <c r="F650" s="14">
        <f t="shared" si="109"/>
        <v>22557</v>
      </c>
      <c r="G650" s="14">
        <f t="shared" si="109"/>
        <v>22414.100000000002</v>
      </c>
      <c r="H650" s="14">
        <f t="shared" si="110"/>
        <v>142.89999999999782</v>
      </c>
      <c r="I650" s="77">
        <f t="shared" si="111"/>
        <v>99.36649377133485</v>
      </c>
      <c r="L650" s="192"/>
      <c r="M650" s="192"/>
      <c r="N650" s="192"/>
      <c r="O650" s="192"/>
      <c r="P650" s="192"/>
      <c r="Q650" s="192"/>
    </row>
    <row r="651" spans="1:17" s="27" customFormat="1" ht="12.75">
      <c r="A651" s="46" t="s">
        <v>288</v>
      </c>
      <c r="B651" s="13" t="s">
        <v>69</v>
      </c>
      <c r="C651" s="13" t="s">
        <v>67</v>
      </c>
      <c r="D651" s="13" t="s">
        <v>515</v>
      </c>
      <c r="E651" s="13"/>
      <c r="F651" s="14">
        <f t="shared" si="109"/>
        <v>22557</v>
      </c>
      <c r="G651" s="14">
        <f t="shared" si="109"/>
        <v>22414.100000000002</v>
      </c>
      <c r="H651" s="14">
        <f t="shared" si="110"/>
        <v>142.89999999999782</v>
      </c>
      <c r="I651" s="77">
        <f t="shared" si="111"/>
        <v>99.36649377133485</v>
      </c>
      <c r="L651" s="192"/>
      <c r="M651" s="192"/>
      <c r="N651" s="192"/>
      <c r="O651" s="192"/>
      <c r="P651" s="192"/>
      <c r="Q651" s="192"/>
    </row>
    <row r="652" spans="1:17" s="27" customFormat="1" ht="25.5">
      <c r="A652" s="46" t="s">
        <v>114</v>
      </c>
      <c r="B652" s="13" t="s">
        <v>69</v>
      </c>
      <c r="C652" s="13" t="s">
        <v>67</v>
      </c>
      <c r="D652" s="13" t="s">
        <v>515</v>
      </c>
      <c r="E652" s="13" t="s">
        <v>115</v>
      </c>
      <c r="F652" s="14">
        <f t="shared" si="109"/>
        <v>22557</v>
      </c>
      <c r="G652" s="14">
        <f t="shared" si="109"/>
        <v>22414.100000000002</v>
      </c>
      <c r="H652" s="14">
        <f t="shared" si="110"/>
        <v>142.89999999999782</v>
      </c>
      <c r="I652" s="77">
        <f t="shared" si="111"/>
        <v>99.36649377133485</v>
      </c>
      <c r="L652" s="192"/>
      <c r="M652" s="192"/>
      <c r="N652" s="192"/>
      <c r="O652" s="192"/>
      <c r="P652" s="192"/>
      <c r="Q652" s="192"/>
    </row>
    <row r="653" spans="1:17" s="27" customFormat="1" ht="12.75">
      <c r="A653" s="46" t="s">
        <v>120</v>
      </c>
      <c r="B653" s="13" t="s">
        <v>69</v>
      </c>
      <c r="C653" s="13" t="s">
        <v>67</v>
      </c>
      <c r="D653" s="13" t="s">
        <v>515</v>
      </c>
      <c r="E653" s="13" t="s">
        <v>121</v>
      </c>
      <c r="F653" s="14">
        <f>F654+F655</f>
        <v>22557</v>
      </c>
      <c r="G653" s="14">
        <f>G654+G655</f>
        <v>22414.100000000002</v>
      </c>
      <c r="H653" s="14">
        <f t="shared" si="110"/>
        <v>142.89999999999782</v>
      </c>
      <c r="I653" s="77">
        <f t="shared" si="111"/>
        <v>99.36649377133485</v>
      </c>
      <c r="L653" s="192"/>
      <c r="M653" s="192"/>
      <c r="N653" s="192"/>
      <c r="O653" s="192"/>
      <c r="P653" s="192"/>
      <c r="Q653" s="192"/>
    </row>
    <row r="654" spans="1:17" s="27" customFormat="1" ht="38.25">
      <c r="A654" s="46" t="s">
        <v>122</v>
      </c>
      <c r="B654" s="13" t="s">
        <v>69</v>
      </c>
      <c r="C654" s="13" t="s">
        <v>67</v>
      </c>
      <c r="D654" s="13" t="s">
        <v>515</v>
      </c>
      <c r="E654" s="13" t="s">
        <v>123</v>
      </c>
      <c r="F654" s="14">
        <f>'пр. 4 Вед'!G672</f>
        <v>20348</v>
      </c>
      <c r="G654" s="14">
        <f>'пр. 4 Вед'!H672</f>
        <v>20207.2</v>
      </c>
      <c r="H654" s="14">
        <f t="shared" si="110"/>
        <v>140.79999999999927</v>
      </c>
      <c r="I654" s="77">
        <f t="shared" si="111"/>
        <v>99.30804010222136</v>
      </c>
      <c r="L654" s="192"/>
      <c r="M654" s="192"/>
      <c r="N654" s="192"/>
      <c r="O654" s="192"/>
      <c r="P654" s="192"/>
      <c r="Q654" s="192"/>
    </row>
    <row r="655" spans="1:17" s="27" customFormat="1" ht="12.75">
      <c r="A655" s="46" t="s">
        <v>124</v>
      </c>
      <c r="B655" s="13" t="s">
        <v>69</v>
      </c>
      <c r="C655" s="13" t="s">
        <v>67</v>
      </c>
      <c r="D655" s="13" t="s">
        <v>515</v>
      </c>
      <c r="E655" s="13" t="s">
        <v>125</v>
      </c>
      <c r="F655" s="14">
        <f>'пр. 4 Вед'!G673</f>
        <v>2209</v>
      </c>
      <c r="G655" s="14">
        <f>'пр. 4 Вед'!H673</f>
        <v>2206.9</v>
      </c>
      <c r="H655" s="14">
        <f t="shared" si="110"/>
        <v>2.099999999999909</v>
      </c>
      <c r="I655" s="77">
        <f t="shared" si="111"/>
        <v>99.90493435943867</v>
      </c>
      <c r="L655" s="192"/>
      <c r="M655" s="192"/>
      <c r="N655" s="192"/>
      <c r="O655" s="192"/>
      <c r="P655" s="192"/>
      <c r="Q655" s="192"/>
    </row>
    <row r="656" spans="1:17" s="27" customFormat="1" ht="12.75">
      <c r="A656" s="46" t="s">
        <v>431</v>
      </c>
      <c r="B656" s="13" t="s">
        <v>69</v>
      </c>
      <c r="C656" s="13" t="s">
        <v>67</v>
      </c>
      <c r="D656" s="13" t="s">
        <v>265</v>
      </c>
      <c r="E656" s="13"/>
      <c r="F656" s="14">
        <f aca="true" t="shared" si="112" ref="F656:G659">F657</f>
        <v>46945.3</v>
      </c>
      <c r="G656" s="14">
        <f t="shared" si="112"/>
        <v>46879.399999999994</v>
      </c>
      <c r="H656" s="14">
        <f t="shared" si="110"/>
        <v>65.90000000000873</v>
      </c>
      <c r="I656" s="77">
        <f t="shared" si="111"/>
        <v>99.85962386010951</v>
      </c>
      <c r="L656" s="192"/>
      <c r="M656" s="192"/>
      <c r="N656" s="192"/>
      <c r="O656" s="192"/>
      <c r="P656" s="192"/>
      <c r="Q656" s="192"/>
    </row>
    <row r="657" spans="1:17" s="27" customFormat="1" ht="25.5">
      <c r="A657" s="46" t="s">
        <v>289</v>
      </c>
      <c r="B657" s="13" t="s">
        <v>69</v>
      </c>
      <c r="C657" s="13" t="s">
        <v>67</v>
      </c>
      <c r="D657" s="13" t="s">
        <v>516</v>
      </c>
      <c r="E657" s="13"/>
      <c r="F657" s="14">
        <f t="shared" si="112"/>
        <v>46945.3</v>
      </c>
      <c r="G657" s="14">
        <f t="shared" si="112"/>
        <v>46879.399999999994</v>
      </c>
      <c r="H657" s="14">
        <f t="shared" si="110"/>
        <v>65.90000000000873</v>
      </c>
      <c r="I657" s="77">
        <f t="shared" si="111"/>
        <v>99.85962386010951</v>
      </c>
      <c r="L657" s="192"/>
      <c r="M657" s="192"/>
      <c r="N657" s="192"/>
      <c r="O657" s="192"/>
      <c r="P657" s="192"/>
      <c r="Q657" s="192"/>
    </row>
    <row r="658" spans="1:17" s="27" customFormat="1" ht="12.75">
      <c r="A658" s="46" t="s">
        <v>288</v>
      </c>
      <c r="B658" s="13" t="s">
        <v>69</v>
      </c>
      <c r="C658" s="13" t="s">
        <v>67</v>
      </c>
      <c r="D658" s="13" t="s">
        <v>517</v>
      </c>
      <c r="E658" s="13"/>
      <c r="F658" s="14">
        <f t="shared" si="112"/>
        <v>46945.3</v>
      </c>
      <c r="G658" s="14">
        <f t="shared" si="112"/>
        <v>46879.399999999994</v>
      </c>
      <c r="H658" s="14">
        <f t="shared" si="110"/>
        <v>65.90000000000873</v>
      </c>
      <c r="I658" s="77">
        <f t="shared" si="111"/>
        <v>99.85962386010951</v>
      </c>
      <c r="L658" s="192"/>
      <c r="M658" s="192"/>
      <c r="N658" s="192"/>
      <c r="O658" s="192"/>
      <c r="P658" s="192"/>
      <c r="Q658" s="192"/>
    </row>
    <row r="659" spans="1:17" s="27" customFormat="1" ht="25.5">
      <c r="A659" s="46" t="s">
        <v>114</v>
      </c>
      <c r="B659" s="13" t="s">
        <v>69</v>
      </c>
      <c r="C659" s="13" t="s">
        <v>67</v>
      </c>
      <c r="D659" s="13" t="s">
        <v>517</v>
      </c>
      <c r="E659" s="13" t="s">
        <v>115</v>
      </c>
      <c r="F659" s="14">
        <f t="shared" si="112"/>
        <v>46945.3</v>
      </c>
      <c r="G659" s="14">
        <f t="shared" si="112"/>
        <v>46879.399999999994</v>
      </c>
      <c r="H659" s="14">
        <f t="shared" si="110"/>
        <v>65.90000000000873</v>
      </c>
      <c r="I659" s="77">
        <f t="shared" si="111"/>
        <v>99.85962386010951</v>
      </c>
      <c r="L659" s="192"/>
      <c r="M659" s="192"/>
      <c r="N659" s="192"/>
      <c r="O659" s="192"/>
      <c r="P659" s="192"/>
      <c r="Q659" s="192"/>
    </row>
    <row r="660" spans="1:17" s="27" customFormat="1" ht="12.75">
      <c r="A660" s="46" t="s">
        <v>120</v>
      </c>
      <c r="B660" s="13" t="s">
        <v>69</v>
      </c>
      <c r="C660" s="13" t="s">
        <v>67</v>
      </c>
      <c r="D660" s="13" t="s">
        <v>517</v>
      </c>
      <c r="E660" s="13" t="s">
        <v>121</v>
      </c>
      <c r="F660" s="14">
        <f>F661+F662</f>
        <v>46945.3</v>
      </c>
      <c r="G660" s="14">
        <f>G661+G662</f>
        <v>46879.399999999994</v>
      </c>
      <c r="H660" s="14">
        <f t="shared" si="110"/>
        <v>65.90000000000873</v>
      </c>
      <c r="I660" s="77">
        <f t="shared" si="111"/>
        <v>99.85962386010951</v>
      </c>
      <c r="L660" s="192"/>
      <c r="M660" s="192"/>
      <c r="N660" s="192"/>
      <c r="O660" s="192"/>
      <c r="P660" s="192"/>
      <c r="Q660" s="192"/>
    </row>
    <row r="661" spans="1:17" s="27" customFormat="1" ht="38.25">
      <c r="A661" s="46" t="s">
        <v>122</v>
      </c>
      <c r="B661" s="13" t="s">
        <v>69</v>
      </c>
      <c r="C661" s="13" t="s">
        <v>67</v>
      </c>
      <c r="D661" s="13" t="s">
        <v>517</v>
      </c>
      <c r="E661" s="13" t="s">
        <v>123</v>
      </c>
      <c r="F661" s="14">
        <f>'пр. 4 Вед'!G679+'пр. 4 Вед'!G860</f>
        <v>45895.3</v>
      </c>
      <c r="G661" s="14">
        <f>'пр. 4 Вед'!H679+'пр. 4 Вед'!H860</f>
        <v>45829.399999999994</v>
      </c>
      <c r="H661" s="14">
        <f t="shared" si="110"/>
        <v>65.90000000000873</v>
      </c>
      <c r="I661" s="77">
        <f t="shared" si="111"/>
        <v>99.85641231237183</v>
      </c>
      <c r="L661" s="192"/>
      <c r="M661" s="192"/>
      <c r="N661" s="192"/>
      <c r="O661" s="192"/>
      <c r="P661" s="192"/>
      <c r="Q661" s="192"/>
    </row>
    <row r="662" spans="1:17" s="27" customFormat="1" ht="12.75">
      <c r="A662" s="46" t="s">
        <v>124</v>
      </c>
      <c r="B662" s="13" t="s">
        <v>69</v>
      </c>
      <c r="C662" s="13" t="s">
        <v>67</v>
      </c>
      <c r="D662" s="13" t="s">
        <v>517</v>
      </c>
      <c r="E662" s="13" t="s">
        <v>125</v>
      </c>
      <c r="F662" s="14">
        <f>'пр. 4 Вед'!G861+'пр. 4 Вед'!G680</f>
        <v>1050</v>
      </c>
      <c r="G662" s="14">
        <f>'пр. 4 Вед'!H861+'пр. 4 Вед'!H680</f>
        <v>1050</v>
      </c>
      <c r="H662" s="14">
        <f t="shared" si="110"/>
        <v>0</v>
      </c>
      <c r="I662" s="77">
        <f t="shared" si="111"/>
        <v>100</v>
      </c>
      <c r="L662" s="192"/>
      <c r="M662" s="192"/>
      <c r="N662" s="192"/>
      <c r="O662" s="192"/>
      <c r="P662" s="192"/>
      <c r="Q662" s="192"/>
    </row>
    <row r="663" spans="1:17" s="27" customFormat="1" ht="25.5">
      <c r="A663" s="60" t="s">
        <v>772</v>
      </c>
      <c r="B663" s="29" t="s">
        <v>69</v>
      </c>
      <c r="C663" s="29" t="s">
        <v>69</v>
      </c>
      <c r="D663" s="29"/>
      <c r="E663" s="29"/>
      <c r="F663" s="30">
        <f>F664+F671+F680+F690+F699+F717+F752+F763</f>
        <v>7693.2</v>
      </c>
      <c r="G663" s="30">
        <f>G664+G671+G680+G690+G699+G717+G752+G763</f>
        <v>7017.099999999999</v>
      </c>
      <c r="H663" s="30">
        <f t="shared" si="110"/>
        <v>676.1000000000004</v>
      </c>
      <c r="I663" s="82">
        <f t="shared" si="111"/>
        <v>91.2117194405449</v>
      </c>
      <c r="L663" s="192"/>
      <c r="M663" s="192"/>
      <c r="N663" s="192"/>
      <c r="O663" s="192"/>
      <c r="P663" s="192"/>
      <c r="Q663" s="192"/>
    </row>
    <row r="664" spans="1:17" s="27" customFormat="1" ht="25.5">
      <c r="A664" s="46" t="s">
        <v>151</v>
      </c>
      <c r="B664" s="13" t="s">
        <v>69</v>
      </c>
      <c r="C664" s="13" t="s">
        <v>69</v>
      </c>
      <c r="D664" s="13" t="s">
        <v>310</v>
      </c>
      <c r="E664" s="29"/>
      <c r="F664" s="14">
        <f aca="true" t="shared" si="113" ref="F664:G669">F665</f>
        <v>2854.3</v>
      </c>
      <c r="G664" s="14">
        <f t="shared" si="113"/>
        <v>2854.2</v>
      </c>
      <c r="H664" s="14">
        <f t="shared" si="110"/>
        <v>0.1000000000003638</v>
      </c>
      <c r="I664" s="77">
        <f t="shared" si="111"/>
        <v>99.99649651403145</v>
      </c>
      <c r="L664" s="192"/>
      <c r="M664" s="192"/>
      <c r="N664" s="192"/>
      <c r="O664" s="192"/>
      <c r="P664" s="192"/>
      <c r="Q664" s="192"/>
    </row>
    <row r="665" spans="1:17" s="27" customFormat="1" ht="25.5">
      <c r="A665" s="46" t="str">
        <f>'пр. 4 Вед'!A683</f>
        <v>Подпрограмма "Организация и обеспечение отдыха и оздоровления детей в Магаданской области" на 2014-2020 годы"</v>
      </c>
      <c r="B665" s="13" t="s">
        <v>69</v>
      </c>
      <c r="C665" s="13" t="s">
        <v>69</v>
      </c>
      <c r="D665" s="13" t="s">
        <v>331</v>
      </c>
      <c r="E665" s="13"/>
      <c r="F665" s="14">
        <f t="shared" si="113"/>
        <v>2854.3</v>
      </c>
      <c r="G665" s="14">
        <f t="shared" si="113"/>
        <v>2854.2</v>
      </c>
      <c r="H665" s="14">
        <f t="shared" si="110"/>
        <v>0.1000000000003638</v>
      </c>
      <c r="I665" s="77">
        <f t="shared" si="111"/>
        <v>99.99649651403145</v>
      </c>
      <c r="L665" s="192"/>
      <c r="M665" s="192"/>
      <c r="N665" s="192"/>
      <c r="O665" s="192"/>
      <c r="P665" s="192"/>
      <c r="Q665" s="192"/>
    </row>
    <row r="666" spans="1:17" s="27" customFormat="1" ht="12.75">
      <c r="A666" s="46" t="s">
        <v>332</v>
      </c>
      <c r="B666" s="13" t="s">
        <v>69</v>
      </c>
      <c r="C666" s="13" t="s">
        <v>69</v>
      </c>
      <c r="D666" s="13" t="s">
        <v>333</v>
      </c>
      <c r="E666" s="13"/>
      <c r="F666" s="14">
        <f t="shared" si="113"/>
        <v>2854.3</v>
      </c>
      <c r="G666" s="14">
        <f t="shared" si="113"/>
        <v>2854.2</v>
      </c>
      <c r="H666" s="14">
        <f t="shared" si="110"/>
        <v>0.1000000000003638</v>
      </c>
      <c r="I666" s="77">
        <f t="shared" si="111"/>
        <v>99.99649651403145</v>
      </c>
      <c r="L666" s="192"/>
      <c r="M666" s="192"/>
      <c r="N666" s="192"/>
      <c r="O666" s="192"/>
      <c r="P666" s="192"/>
      <c r="Q666" s="192"/>
    </row>
    <row r="667" spans="1:17" s="27" customFormat="1" ht="25.5">
      <c r="A667" s="46" t="s">
        <v>598</v>
      </c>
      <c r="B667" s="13" t="s">
        <v>69</v>
      </c>
      <c r="C667" s="13" t="s">
        <v>69</v>
      </c>
      <c r="D667" s="13" t="s">
        <v>334</v>
      </c>
      <c r="E667" s="13"/>
      <c r="F667" s="14">
        <f t="shared" si="113"/>
        <v>2854.3</v>
      </c>
      <c r="G667" s="14">
        <f t="shared" si="113"/>
        <v>2854.2</v>
      </c>
      <c r="H667" s="14">
        <f t="shared" si="110"/>
        <v>0.1000000000003638</v>
      </c>
      <c r="I667" s="77">
        <f t="shared" si="111"/>
        <v>99.99649651403145</v>
      </c>
      <c r="L667" s="192"/>
      <c r="M667" s="192"/>
      <c r="N667" s="192"/>
      <c r="O667" s="192"/>
      <c r="P667" s="192"/>
      <c r="Q667" s="192"/>
    </row>
    <row r="668" spans="1:17" s="27" customFormat="1" ht="25.5">
      <c r="A668" s="46" t="s">
        <v>114</v>
      </c>
      <c r="B668" s="13" t="s">
        <v>69</v>
      </c>
      <c r="C668" s="13" t="s">
        <v>69</v>
      </c>
      <c r="D668" s="13" t="s">
        <v>334</v>
      </c>
      <c r="E668" s="13" t="s">
        <v>115</v>
      </c>
      <c r="F668" s="14">
        <f t="shared" si="113"/>
        <v>2854.3</v>
      </c>
      <c r="G668" s="14">
        <f t="shared" si="113"/>
        <v>2854.2</v>
      </c>
      <c r="H668" s="14">
        <f t="shared" si="110"/>
        <v>0.1000000000003638</v>
      </c>
      <c r="I668" s="77">
        <f t="shared" si="111"/>
        <v>99.99649651403145</v>
      </c>
      <c r="L668" s="192"/>
      <c r="M668" s="192"/>
      <c r="N668" s="192"/>
      <c r="O668" s="192"/>
      <c r="P668" s="192"/>
      <c r="Q668" s="192"/>
    </row>
    <row r="669" spans="1:17" s="27" customFormat="1" ht="12.75">
      <c r="A669" s="46" t="s">
        <v>120</v>
      </c>
      <c r="B669" s="13" t="s">
        <v>69</v>
      </c>
      <c r="C669" s="13" t="s">
        <v>69</v>
      </c>
      <c r="D669" s="13" t="s">
        <v>334</v>
      </c>
      <c r="E669" s="13" t="s">
        <v>121</v>
      </c>
      <c r="F669" s="14">
        <f t="shared" si="113"/>
        <v>2854.3</v>
      </c>
      <c r="G669" s="14">
        <f t="shared" si="113"/>
        <v>2854.2</v>
      </c>
      <c r="H669" s="14">
        <f t="shared" si="110"/>
        <v>0.1000000000003638</v>
      </c>
      <c r="I669" s="77">
        <f t="shared" si="111"/>
        <v>99.99649651403145</v>
      </c>
      <c r="L669" s="192"/>
      <c r="M669" s="192"/>
      <c r="N669" s="192"/>
      <c r="O669" s="192"/>
      <c r="P669" s="192"/>
      <c r="Q669" s="192"/>
    </row>
    <row r="670" spans="1:17" s="27" customFormat="1" ht="12.75">
      <c r="A670" s="46" t="s">
        <v>124</v>
      </c>
      <c r="B670" s="13" t="s">
        <v>69</v>
      </c>
      <c r="C670" s="13" t="s">
        <v>69</v>
      </c>
      <c r="D670" s="13" t="s">
        <v>334</v>
      </c>
      <c r="E670" s="13" t="s">
        <v>125</v>
      </c>
      <c r="F670" s="14">
        <f>'пр. 4 Вед'!G688</f>
        <v>2854.3</v>
      </c>
      <c r="G670" s="14">
        <f>'пр. 4 Вед'!H688</f>
        <v>2854.2</v>
      </c>
      <c r="H670" s="14">
        <f t="shared" si="110"/>
        <v>0.1000000000003638</v>
      </c>
      <c r="I670" s="77">
        <f t="shared" si="111"/>
        <v>99.99649651403145</v>
      </c>
      <c r="L670" s="192"/>
      <c r="M670" s="192"/>
      <c r="N670" s="192"/>
      <c r="O670" s="192"/>
      <c r="P670" s="192"/>
      <c r="Q670" s="192"/>
    </row>
    <row r="671" spans="1:17" s="27" customFormat="1" ht="12.75">
      <c r="A671" s="46" t="s">
        <v>215</v>
      </c>
      <c r="B671" s="13" t="s">
        <v>69</v>
      </c>
      <c r="C671" s="13" t="s">
        <v>69</v>
      </c>
      <c r="D671" s="45" t="s">
        <v>216</v>
      </c>
      <c r="E671" s="13"/>
      <c r="F671" s="14">
        <f>F672+F677</f>
        <v>323</v>
      </c>
      <c r="G671" s="14">
        <f>G672+G677</f>
        <v>323</v>
      </c>
      <c r="H671" s="14">
        <f t="shared" si="110"/>
        <v>0</v>
      </c>
      <c r="I671" s="77">
        <f t="shared" si="111"/>
        <v>100</v>
      </c>
      <c r="L671" s="192"/>
      <c r="M671" s="192"/>
      <c r="N671" s="192"/>
      <c r="O671" s="192"/>
      <c r="P671" s="192"/>
      <c r="Q671" s="192"/>
    </row>
    <row r="672" spans="1:17" s="27" customFormat="1" ht="18" customHeight="1">
      <c r="A672" s="46" t="s">
        <v>292</v>
      </c>
      <c r="B672" s="13" t="s">
        <v>69</v>
      </c>
      <c r="C672" s="13" t="s">
        <v>69</v>
      </c>
      <c r="D672" s="45" t="s">
        <v>462</v>
      </c>
      <c r="E672" s="13"/>
      <c r="F672" s="14">
        <f aca="true" t="shared" si="114" ref="F672:G675">F673</f>
        <v>57</v>
      </c>
      <c r="G672" s="14">
        <f t="shared" si="114"/>
        <v>57</v>
      </c>
      <c r="H672" s="14">
        <f t="shared" si="110"/>
        <v>0</v>
      </c>
      <c r="I672" s="77">
        <f t="shared" si="111"/>
        <v>100</v>
      </c>
      <c r="L672" s="192"/>
      <c r="M672" s="192"/>
      <c r="N672" s="192"/>
      <c r="O672" s="192"/>
      <c r="P672" s="192"/>
      <c r="Q672" s="192"/>
    </row>
    <row r="673" spans="1:17" s="27" customFormat="1" ht="12.75">
      <c r="A673" s="46" t="s">
        <v>217</v>
      </c>
      <c r="B673" s="13" t="s">
        <v>69</v>
      </c>
      <c r="C673" s="13" t="s">
        <v>69</v>
      </c>
      <c r="D673" s="45" t="s">
        <v>463</v>
      </c>
      <c r="E673" s="13"/>
      <c r="F673" s="14">
        <f t="shared" si="114"/>
        <v>57</v>
      </c>
      <c r="G673" s="14">
        <f t="shared" si="114"/>
        <v>57</v>
      </c>
      <c r="H673" s="14">
        <f t="shared" si="110"/>
        <v>0</v>
      </c>
      <c r="I673" s="77">
        <f t="shared" si="111"/>
        <v>100</v>
      </c>
      <c r="L673" s="192"/>
      <c r="M673" s="192"/>
      <c r="N673" s="192"/>
      <c r="O673" s="192"/>
      <c r="P673" s="192"/>
      <c r="Q673" s="192"/>
    </row>
    <row r="674" spans="1:17" s="27" customFormat="1" ht="12.75">
      <c r="A674" s="46" t="s">
        <v>770</v>
      </c>
      <c r="B674" s="13" t="s">
        <v>69</v>
      </c>
      <c r="C674" s="13" t="s">
        <v>69</v>
      </c>
      <c r="D674" s="45" t="s">
        <v>463</v>
      </c>
      <c r="E674" s="13" t="s">
        <v>113</v>
      </c>
      <c r="F674" s="14">
        <f t="shared" si="114"/>
        <v>57</v>
      </c>
      <c r="G674" s="14">
        <f t="shared" si="114"/>
        <v>57</v>
      </c>
      <c r="H674" s="14">
        <f t="shared" si="110"/>
        <v>0</v>
      </c>
      <c r="I674" s="77">
        <f t="shared" si="111"/>
        <v>100</v>
      </c>
      <c r="L674" s="192"/>
      <c r="M674" s="192"/>
      <c r="N674" s="192"/>
      <c r="O674" s="192"/>
      <c r="P674" s="192"/>
      <c r="Q674" s="192"/>
    </row>
    <row r="675" spans="1:17" s="27" customFormat="1" ht="25.5">
      <c r="A675" s="46" t="s">
        <v>106</v>
      </c>
      <c r="B675" s="13" t="s">
        <v>69</v>
      </c>
      <c r="C675" s="13" t="s">
        <v>69</v>
      </c>
      <c r="D675" s="45" t="s">
        <v>463</v>
      </c>
      <c r="E675" s="13" t="s">
        <v>107</v>
      </c>
      <c r="F675" s="14">
        <f t="shared" si="114"/>
        <v>57</v>
      </c>
      <c r="G675" s="14">
        <f t="shared" si="114"/>
        <v>57</v>
      </c>
      <c r="H675" s="14">
        <f t="shared" si="110"/>
        <v>0</v>
      </c>
      <c r="I675" s="77">
        <f t="shared" si="111"/>
        <v>100</v>
      </c>
      <c r="L675" s="192"/>
      <c r="M675" s="192"/>
      <c r="N675" s="192"/>
      <c r="O675" s="192"/>
      <c r="P675" s="192"/>
      <c r="Q675" s="192"/>
    </row>
    <row r="676" spans="1:17" s="27" customFormat="1" ht="25.5">
      <c r="A676" s="46" t="s">
        <v>108</v>
      </c>
      <c r="B676" s="13" t="s">
        <v>69</v>
      </c>
      <c r="C676" s="13" t="s">
        <v>69</v>
      </c>
      <c r="D676" s="45" t="s">
        <v>463</v>
      </c>
      <c r="E676" s="13" t="s">
        <v>109</v>
      </c>
      <c r="F676" s="14">
        <f>'пр. 4 Вед'!G694</f>
        <v>57</v>
      </c>
      <c r="G676" s="14">
        <f>'пр. 4 Вед'!H694</f>
        <v>57</v>
      </c>
      <c r="H676" s="14">
        <f t="shared" si="110"/>
        <v>0</v>
      </c>
      <c r="I676" s="77">
        <f t="shared" si="111"/>
        <v>100</v>
      </c>
      <c r="L676" s="192"/>
      <c r="M676" s="192"/>
      <c r="N676" s="192"/>
      <c r="O676" s="192"/>
      <c r="P676" s="192"/>
      <c r="Q676" s="192"/>
    </row>
    <row r="677" spans="1:17" s="27" customFormat="1" ht="12.75">
      <c r="A677" s="46" t="s">
        <v>126</v>
      </c>
      <c r="B677" s="13" t="s">
        <v>69</v>
      </c>
      <c r="C677" s="13" t="s">
        <v>69</v>
      </c>
      <c r="D677" s="45" t="s">
        <v>463</v>
      </c>
      <c r="E677" s="13" t="s">
        <v>127</v>
      </c>
      <c r="F677" s="14">
        <f>F678+F679</f>
        <v>266</v>
      </c>
      <c r="G677" s="14">
        <f>G678+G679</f>
        <v>266</v>
      </c>
      <c r="H677" s="14">
        <f t="shared" si="110"/>
        <v>0</v>
      </c>
      <c r="I677" s="77">
        <f t="shared" si="111"/>
        <v>100</v>
      </c>
      <c r="L677" s="192"/>
      <c r="M677" s="192"/>
      <c r="N677" s="192"/>
      <c r="O677" s="192"/>
      <c r="P677" s="192"/>
      <c r="Q677" s="192"/>
    </row>
    <row r="678" spans="1:17" s="27" customFormat="1" ht="12.75">
      <c r="A678" s="46" t="s">
        <v>158</v>
      </c>
      <c r="B678" s="13" t="s">
        <v>69</v>
      </c>
      <c r="C678" s="13" t="s">
        <v>69</v>
      </c>
      <c r="D678" s="45" t="s">
        <v>463</v>
      </c>
      <c r="E678" s="13" t="s">
        <v>157</v>
      </c>
      <c r="F678" s="14">
        <f>'пр. 4 Вед'!G696</f>
        <v>216</v>
      </c>
      <c r="G678" s="14">
        <f>'пр. 4 Вед'!H696</f>
        <v>216</v>
      </c>
      <c r="H678" s="14">
        <f t="shared" si="110"/>
        <v>0</v>
      </c>
      <c r="I678" s="77">
        <f t="shared" si="111"/>
        <v>100</v>
      </c>
      <c r="L678" s="192"/>
      <c r="M678" s="192"/>
      <c r="N678" s="192"/>
      <c r="O678" s="192"/>
      <c r="P678" s="192"/>
      <c r="Q678" s="192"/>
    </row>
    <row r="679" spans="1:17" s="27" customFormat="1" ht="12.75">
      <c r="A679" s="46" t="s">
        <v>160</v>
      </c>
      <c r="B679" s="13" t="s">
        <v>69</v>
      </c>
      <c r="C679" s="13" t="s">
        <v>69</v>
      </c>
      <c r="D679" s="45" t="s">
        <v>463</v>
      </c>
      <c r="E679" s="13" t="s">
        <v>159</v>
      </c>
      <c r="F679" s="14">
        <f>'пр. 4 Вед'!G697</f>
        <v>50</v>
      </c>
      <c r="G679" s="14">
        <f>'пр. 4 Вед'!H697</f>
        <v>50</v>
      </c>
      <c r="H679" s="14">
        <f t="shared" si="110"/>
        <v>0</v>
      </c>
      <c r="I679" s="77">
        <f t="shared" si="111"/>
        <v>100</v>
      </c>
      <c r="L679" s="192"/>
      <c r="M679" s="192"/>
      <c r="N679" s="192"/>
      <c r="O679" s="192"/>
      <c r="P679" s="192"/>
      <c r="Q679" s="192"/>
    </row>
    <row r="680" spans="1:17" s="27" customFormat="1" ht="25.5">
      <c r="A680" s="46" t="s">
        <v>362</v>
      </c>
      <c r="B680" s="13" t="s">
        <v>69</v>
      </c>
      <c r="C680" s="13" t="s">
        <v>69</v>
      </c>
      <c r="D680" s="45" t="s">
        <v>219</v>
      </c>
      <c r="E680" s="13"/>
      <c r="F680" s="14">
        <f>F681</f>
        <v>540</v>
      </c>
      <c r="G680" s="14">
        <f>G681</f>
        <v>540</v>
      </c>
      <c r="H680" s="14">
        <f t="shared" si="110"/>
        <v>0</v>
      </c>
      <c r="I680" s="77">
        <f t="shared" si="111"/>
        <v>100</v>
      </c>
      <c r="L680" s="192"/>
      <c r="M680" s="192"/>
      <c r="N680" s="192"/>
      <c r="O680" s="192"/>
      <c r="P680" s="192"/>
      <c r="Q680" s="192"/>
    </row>
    <row r="681" spans="1:17" s="27" customFormat="1" ht="38.25">
      <c r="A681" s="46" t="s">
        <v>578</v>
      </c>
      <c r="B681" s="13" t="s">
        <v>69</v>
      </c>
      <c r="C681" s="13" t="s">
        <v>69</v>
      </c>
      <c r="D681" s="45" t="s">
        <v>464</v>
      </c>
      <c r="E681" s="13"/>
      <c r="F681" s="14">
        <f>F682</f>
        <v>540</v>
      </c>
      <c r="G681" s="14">
        <f>G682</f>
        <v>540</v>
      </c>
      <c r="H681" s="14">
        <f t="shared" si="110"/>
        <v>0</v>
      </c>
      <c r="I681" s="77">
        <f t="shared" si="111"/>
        <v>100</v>
      </c>
      <c r="L681" s="192"/>
      <c r="M681" s="192"/>
      <c r="N681" s="192"/>
      <c r="O681" s="192"/>
      <c r="P681" s="192"/>
      <c r="Q681" s="192"/>
    </row>
    <row r="682" spans="1:17" s="27" customFormat="1" ht="12.75">
      <c r="A682" s="46" t="s">
        <v>218</v>
      </c>
      <c r="B682" s="13" t="s">
        <v>69</v>
      </c>
      <c r="C682" s="13" t="s">
        <v>69</v>
      </c>
      <c r="D682" s="45" t="s">
        <v>465</v>
      </c>
      <c r="E682" s="13"/>
      <c r="F682" s="14">
        <f>F687+F683</f>
        <v>540</v>
      </c>
      <c r="G682" s="14">
        <f>G687+G683</f>
        <v>540</v>
      </c>
      <c r="H682" s="14">
        <f t="shared" si="110"/>
        <v>0</v>
      </c>
      <c r="I682" s="77">
        <f t="shared" si="111"/>
        <v>100</v>
      </c>
      <c r="L682" s="192"/>
      <c r="M682" s="192"/>
      <c r="N682" s="192"/>
      <c r="O682" s="192"/>
      <c r="P682" s="192"/>
      <c r="Q682" s="192"/>
    </row>
    <row r="683" spans="1:17" s="27" customFormat="1" ht="38.25">
      <c r="A683" s="46" t="s">
        <v>110</v>
      </c>
      <c r="B683" s="13" t="s">
        <v>69</v>
      </c>
      <c r="C683" s="13" t="s">
        <v>69</v>
      </c>
      <c r="D683" s="45" t="s">
        <v>465</v>
      </c>
      <c r="E683" s="13" t="s">
        <v>111</v>
      </c>
      <c r="F683" s="14">
        <f>F684</f>
        <v>92.4</v>
      </c>
      <c r="G683" s="14">
        <f>G684</f>
        <v>92.4</v>
      </c>
      <c r="H683" s="14">
        <f t="shared" si="110"/>
        <v>0</v>
      </c>
      <c r="I683" s="77">
        <f t="shared" si="111"/>
        <v>100</v>
      </c>
      <c r="L683" s="192"/>
      <c r="M683" s="192"/>
      <c r="N683" s="192"/>
      <c r="O683" s="192"/>
      <c r="P683" s="192"/>
      <c r="Q683" s="192"/>
    </row>
    <row r="684" spans="1:17" s="27" customFormat="1" ht="12.75">
      <c r="A684" s="69" t="s">
        <v>406</v>
      </c>
      <c r="B684" s="13" t="s">
        <v>69</v>
      </c>
      <c r="C684" s="13" t="s">
        <v>69</v>
      </c>
      <c r="D684" s="45" t="s">
        <v>465</v>
      </c>
      <c r="E684" s="13" t="s">
        <v>408</v>
      </c>
      <c r="F684" s="14">
        <f>F685+F686</f>
        <v>92.4</v>
      </c>
      <c r="G684" s="14">
        <f>G685+G686</f>
        <v>92.4</v>
      </c>
      <c r="H684" s="14">
        <f t="shared" si="110"/>
        <v>0</v>
      </c>
      <c r="I684" s="77">
        <f t="shared" si="111"/>
        <v>100</v>
      </c>
      <c r="L684" s="192"/>
      <c r="M684" s="192"/>
      <c r="N684" s="192"/>
      <c r="O684" s="192"/>
      <c r="P684" s="192"/>
      <c r="Q684" s="192"/>
    </row>
    <row r="685" spans="1:17" s="27" customFormat="1" ht="12.75">
      <c r="A685" s="46" t="s">
        <v>573</v>
      </c>
      <c r="B685" s="13" t="s">
        <v>69</v>
      </c>
      <c r="C685" s="13" t="s">
        <v>69</v>
      </c>
      <c r="D685" s="45" t="s">
        <v>465</v>
      </c>
      <c r="E685" s="13" t="s">
        <v>409</v>
      </c>
      <c r="F685" s="14">
        <f>'пр. 4 Вед'!G868</f>
        <v>70.9</v>
      </c>
      <c r="G685" s="14">
        <f>'пр. 4 Вед'!H868</f>
        <v>70.9</v>
      </c>
      <c r="H685" s="14">
        <f t="shared" si="110"/>
        <v>0</v>
      </c>
      <c r="I685" s="77">
        <f t="shared" si="111"/>
        <v>100</v>
      </c>
      <c r="L685" s="192"/>
      <c r="M685" s="192"/>
      <c r="N685" s="192"/>
      <c r="O685" s="192"/>
      <c r="P685" s="192"/>
      <c r="Q685" s="192"/>
    </row>
    <row r="686" spans="1:17" s="27" customFormat="1" ht="25.5">
      <c r="A686" s="46" t="s">
        <v>576</v>
      </c>
      <c r="B686" s="13" t="s">
        <v>69</v>
      </c>
      <c r="C686" s="13" t="s">
        <v>69</v>
      </c>
      <c r="D686" s="45" t="s">
        <v>465</v>
      </c>
      <c r="E686" s="13" t="s">
        <v>410</v>
      </c>
      <c r="F686" s="14">
        <f>'пр. 4 Вед'!G869</f>
        <v>21.5</v>
      </c>
      <c r="G686" s="14">
        <f>'пр. 4 Вед'!H869</f>
        <v>21.5</v>
      </c>
      <c r="H686" s="14">
        <f t="shared" si="110"/>
        <v>0</v>
      </c>
      <c r="I686" s="77">
        <f t="shared" si="111"/>
        <v>100</v>
      </c>
      <c r="L686" s="192"/>
      <c r="M686" s="192"/>
      <c r="N686" s="192"/>
      <c r="O686" s="192"/>
      <c r="P686" s="192"/>
      <c r="Q686" s="192"/>
    </row>
    <row r="687" spans="1:17" s="27" customFormat="1" ht="25.5">
      <c r="A687" s="46" t="s">
        <v>114</v>
      </c>
      <c r="B687" s="13" t="s">
        <v>69</v>
      </c>
      <c r="C687" s="13" t="s">
        <v>69</v>
      </c>
      <c r="D687" s="45" t="s">
        <v>465</v>
      </c>
      <c r="E687" s="13" t="s">
        <v>115</v>
      </c>
      <c r="F687" s="14">
        <f>F688</f>
        <v>447.6</v>
      </c>
      <c r="G687" s="14">
        <f>G688</f>
        <v>447.6</v>
      </c>
      <c r="H687" s="14">
        <f t="shared" si="110"/>
        <v>0</v>
      </c>
      <c r="I687" s="77">
        <f t="shared" si="111"/>
        <v>100</v>
      </c>
      <c r="L687" s="192"/>
      <c r="M687" s="192"/>
      <c r="N687" s="192"/>
      <c r="O687" s="192"/>
      <c r="P687" s="192"/>
      <c r="Q687" s="192"/>
    </row>
    <row r="688" spans="1:17" s="27" customFormat="1" ht="12.75">
      <c r="A688" s="46" t="s">
        <v>120</v>
      </c>
      <c r="B688" s="13" t="s">
        <v>69</v>
      </c>
      <c r="C688" s="13" t="s">
        <v>69</v>
      </c>
      <c r="D688" s="45" t="s">
        <v>465</v>
      </c>
      <c r="E688" s="13" t="s">
        <v>121</v>
      </c>
      <c r="F688" s="14">
        <f>F689</f>
        <v>447.6</v>
      </c>
      <c r="G688" s="14">
        <f>G689</f>
        <v>447.6</v>
      </c>
      <c r="H688" s="14">
        <f t="shared" si="110"/>
        <v>0</v>
      </c>
      <c r="I688" s="77">
        <f t="shared" si="111"/>
        <v>100</v>
      </c>
      <c r="L688" s="192"/>
      <c r="M688" s="192"/>
      <c r="N688" s="192"/>
      <c r="O688" s="192"/>
      <c r="P688" s="192"/>
      <c r="Q688" s="192"/>
    </row>
    <row r="689" spans="1:17" s="27" customFormat="1" ht="12.75">
      <c r="A689" s="46" t="s">
        <v>124</v>
      </c>
      <c r="B689" s="13" t="s">
        <v>69</v>
      </c>
      <c r="C689" s="13" t="s">
        <v>69</v>
      </c>
      <c r="D689" s="45" t="s">
        <v>465</v>
      </c>
      <c r="E689" s="13" t="s">
        <v>125</v>
      </c>
      <c r="F689" s="14">
        <f>'пр. 4 Вед'!G703</f>
        <v>447.6</v>
      </c>
      <c r="G689" s="14">
        <f>'пр. 4 Вед'!H703</f>
        <v>447.6</v>
      </c>
      <c r="H689" s="14">
        <f t="shared" si="110"/>
        <v>0</v>
      </c>
      <c r="I689" s="77">
        <f t="shared" si="111"/>
        <v>100</v>
      </c>
      <c r="L689" s="192"/>
      <c r="M689" s="192"/>
      <c r="N689" s="192"/>
      <c r="O689" s="192"/>
      <c r="P689" s="192"/>
      <c r="Q689" s="192"/>
    </row>
    <row r="690" spans="1:17" s="27" customFormat="1" ht="25.5">
      <c r="A690" s="46" t="s">
        <v>363</v>
      </c>
      <c r="B690" s="13" t="s">
        <v>69</v>
      </c>
      <c r="C690" s="13" t="s">
        <v>69</v>
      </c>
      <c r="D690" s="45" t="s">
        <v>221</v>
      </c>
      <c r="E690" s="13"/>
      <c r="F690" s="14">
        <f>F691</f>
        <v>385.7</v>
      </c>
      <c r="G690" s="14">
        <f>G691</f>
        <v>385.7</v>
      </c>
      <c r="H690" s="14">
        <f t="shared" si="110"/>
        <v>0</v>
      </c>
      <c r="I690" s="77">
        <f t="shared" si="111"/>
        <v>100</v>
      </c>
      <c r="L690" s="192"/>
      <c r="M690" s="192"/>
      <c r="N690" s="192"/>
      <c r="O690" s="192"/>
      <c r="P690" s="192"/>
      <c r="Q690" s="192"/>
    </row>
    <row r="691" spans="1:17" s="27" customFormat="1" ht="25.5">
      <c r="A691" s="46" t="s">
        <v>293</v>
      </c>
      <c r="B691" s="13" t="s">
        <v>69</v>
      </c>
      <c r="C691" s="13" t="s">
        <v>69</v>
      </c>
      <c r="D691" s="45" t="s">
        <v>466</v>
      </c>
      <c r="E691" s="13"/>
      <c r="F691" s="14">
        <f>F692</f>
        <v>385.7</v>
      </c>
      <c r="G691" s="14">
        <f>G692</f>
        <v>385.7</v>
      </c>
      <c r="H691" s="14">
        <f t="shared" si="110"/>
        <v>0</v>
      </c>
      <c r="I691" s="77">
        <f t="shared" si="111"/>
        <v>100</v>
      </c>
      <c r="L691" s="192"/>
      <c r="M691" s="192"/>
      <c r="N691" s="192"/>
      <c r="O691" s="192"/>
      <c r="P691" s="192"/>
      <c r="Q691" s="192"/>
    </row>
    <row r="692" spans="1:17" s="27" customFormat="1" ht="12.75">
      <c r="A692" s="46" t="s">
        <v>220</v>
      </c>
      <c r="B692" s="13" t="s">
        <v>69</v>
      </c>
      <c r="C692" s="13" t="s">
        <v>69</v>
      </c>
      <c r="D692" s="45" t="s">
        <v>467</v>
      </c>
      <c r="E692" s="13"/>
      <c r="F692" s="14">
        <f>F693+F696</f>
        <v>385.7</v>
      </c>
      <c r="G692" s="14">
        <f>G693+G696</f>
        <v>385.7</v>
      </c>
      <c r="H692" s="14">
        <f t="shared" si="110"/>
        <v>0</v>
      </c>
      <c r="I692" s="77">
        <f t="shared" si="111"/>
        <v>100</v>
      </c>
      <c r="L692" s="192"/>
      <c r="M692" s="192"/>
      <c r="N692" s="192"/>
      <c r="O692" s="192"/>
      <c r="P692" s="192"/>
      <c r="Q692" s="192"/>
    </row>
    <row r="693" spans="1:17" s="27" customFormat="1" ht="12.75">
      <c r="A693" s="46" t="s">
        <v>770</v>
      </c>
      <c r="B693" s="13" t="s">
        <v>69</v>
      </c>
      <c r="C693" s="13" t="s">
        <v>69</v>
      </c>
      <c r="D693" s="45" t="s">
        <v>467</v>
      </c>
      <c r="E693" s="13" t="s">
        <v>113</v>
      </c>
      <c r="F693" s="14">
        <f>F694</f>
        <v>300</v>
      </c>
      <c r="G693" s="14">
        <f>G694</f>
        <v>300</v>
      </c>
      <c r="H693" s="14">
        <f t="shared" si="110"/>
        <v>0</v>
      </c>
      <c r="I693" s="77">
        <f t="shared" si="111"/>
        <v>100</v>
      </c>
      <c r="L693" s="192"/>
      <c r="M693" s="192"/>
      <c r="N693" s="192"/>
      <c r="O693" s="192"/>
      <c r="P693" s="192"/>
      <c r="Q693" s="192"/>
    </row>
    <row r="694" spans="1:17" s="27" customFormat="1" ht="25.5">
      <c r="A694" s="46" t="s">
        <v>106</v>
      </c>
      <c r="B694" s="13" t="s">
        <v>69</v>
      </c>
      <c r="C694" s="13" t="s">
        <v>69</v>
      </c>
      <c r="D694" s="45" t="s">
        <v>467</v>
      </c>
      <c r="E694" s="13" t="s">
        <v>107</v>
      </c>
      <c r="F694" s="14">
        <f>F695</f>
        <v>300</v>
      </c>
      <c r="G694" s="14">
        <f>G695</f>
        <v>300</v>
      </c>
      <c r="H694" s="14">
        <f t="shared" si="110"/>
        <v>0</v>
      </c>
      <c r="I694" s="77">
        <f t="shared" si="111"/>
        <v>100</v>
      </c>
      <c r="L694" s="192"/>
      <c r="M694" s="192"/>
      <c r="N694" s="192"/>
      <c r="O694" s="192"/>
      <c r="P694" s="192"/>
      <c r="Q694" s="192"/>
    </row>
    <row r="695" spans="1:17" s="27" customFormat="1" ht="25.5">
      <c r="A695" s="46" t="s">
        <v>108</v>
      </c>
      <c r="B695" s="13" t="s">
        <v>69</v>
      </c>
      <c r="C695" s="13" t="s">
        <v>69</v>
      </c>
      <c r="D695" s="45" t="s">
        <v>467</v>
      </c>
      <c r="E695" s="13" t="s">
        <v>109</v>
      </c>
      <c r="F695" s="14">
        <f>'пр. 4 Вед'!G875</f>
        <v>300</v>
      </c>
      <c r="G695" s="14">
        <f>'пр. 4 Вед'!H875</f>
        <v>300</v>
      </c>
      <c r="H695" s="14">
        <f t="shared" si="110"/>
        <v>0</v>
      </c>
      <c r="I695" s="77">
        <f t="shared" si="111"/>
        <v>100</v>
      </c>
      <c r="L695" s="192"/>
      <c r="M695" s="192"/>
      <c r="N695" s="192"/>
      <c r="O695" s="192"/>
      <c r="P695" s="192"/>
      <c r="Q695" s="192"/>
    </row>
    <row r="696" spans="1:17" s="27" customFormat="1" ht="25.5">
      <c r="A696" s="46" t="s">
        <v>114</v>
      </c>
      <c r="B696" s="13" t="s">
        <v>69</v>
      </c>
      <c r="C696" s="13" t="s">
        <v>69</v>
      </c>
      <c r="D696" s="45" t="s">
        <v>467</v>
      </c>
      <c r="E696" s="13" t="s">
        <v>115</v>
      </c>
      <c r="F696" s="14">
        <f>F697</f>
        <v>85.7</v>
      </c>
      <c r="G696" s="14">
        <f>G697</f>
        <v>85.7</v>
      </c>
      <c r="H696" s="14">
        <f t="shared" si="110"/>
        <v>0</v>
      </c>
      <c r="I696" s="77">
        <f t="shared" si="111"/>
        <v>100</v>
      </c>
      <c r="L696" s="192"/>
      <c r="M696" s="192"/>
      <c r="N696" s="192"/>
      <c r="O696" s="192"/>
      <c r="P696" s="192"/>
      <c r="Q696" s="192"/>
    </row>
    <row r="697" spans="1:17" s="27" customFormat="1" ht="12.75">
      <c r="A697" s="46" t="s">
        <v>120</v>
      </c>
      <c r="B697" s="13" t="s">
        <v>69</v>
      </c>
      <c r="C697" s="13" t="s">
        <v>69</v>
      </c>
      <c r="D697" s="45" t="s">
        <v>467</v>
      </c>
      <c r="E697" s="13" t="s">
        <v>121</v>
      </c>
      <c r="F697" s="14">
        <f>F698</f>
        <v>85.7</v>
      </c>
      <c r="G697" s="14">
        <f>G698</f>
        <v>85.7</v>
      </c>
      <c r="H697" s="14">
        <f t="shared" si="110"/>
        <v>0</v>
      </c>
      <c r="I697" s="77">
        <f t="shared" si="111"/>
        <v>100</v>
      </c>
      <c r="L697" s="192"/>
      <c r="M697" s="192"/>
      <c r="N697" s="192"/>
      <c r="O697" s="192"/>
      <c r="P697" s="192"/>
      <c r="Q697" s="192"/>
    </row>
    <row r="698" spans="1:17" s="27" customFormat="1" ht="12.75">
      <c r="A698" s="46" t="s">
        <v>124</v>
      </c>
      <c r="B698" s="13" t="s">
        <v>69</v>
      </c>
      <c r="C698" s="13" t="s">
        <v>69</v>
      </c>
      <c r="D698" s="45" t="s">
        <v>467</v>
      </c>
      <c r="E698" s="13" t="s">
        <v>125</v>
      </c>
      <c r="F698" s="14">
        <f>'пр. 4 Вед'!G709</f>
        <v>85.7</v>
      </c>
      <c r="G698" s="14">
        <f>'пр. 4 Вед'!H709</f>
        <v>85.7</v>
      </c>
      <c r="H698" s="14">
        <f t="shared" si="110"/>
        <v>0</v>
      </c>
      <c r="I698" s="77">
        <f t="shared" si="111"/>
        <v>100</v>
      </c>
      <c r="L698" s="192"/>
      <c r="M698" s="192"/>
      <c r="N698" s="192"/>
      <c r="O698" s="192"/>
      <c r="P698" s="192"/>
      <c r="Q698" s="192"/>
    </row>
    <row r="699" spans="1:17" s="27" customFormat="1" ht="12.75">
      <c r="A699" s="46" t="s">
        <v>208</v>
      </c>
      <c r="B699" s="13" t="s">
        <v>69</v>
      </c>
      <c r="C699" s="13" t="s">
        <v>69</v>
      </c>
      <c r="D699" s="45" t="s">
        <v>210</v>
      </c>
      <c r="E699" s="13"/>
      <c r="F699" s="14">
        <f>F700</f>
        <v>2307</v>
      </c>
      <c r="G699" s="14">
        <f>G700</f>
        <v>2307</v>
      </c>
      <c r="H699" s="14">
        <f t="shared" si="110"/>
        <v>0</v>
      </c>
      <c r="I699" s="77">
        <f t="shared" si="111"/>
        <v>100</v>
      </c>
      <c r="L699" s="192"/>
      <c r="M699" s="192"/>
      <c r="N699" s="192"/>
      <c r="O699" s="192"/>
      <c r="P699" s="192"/>
      <c r="Q699" s="192"/>
    </row>
    <row r="700" spans="1:17" s="27" customFormat="1" ht="25.5">
      <c r="A700" s="46" t="s">
        <v>291</v>
      </c>
      <c r="B700" s="13" t="s">
        <v>69</v>
      </c>
      <c r="C700" s="13" t="s">
        <v>69</v>
      </c>
      <c r="D700" s="45" t="s">
        <v>468</v>
      </c>
      <c r="E700" s="13"/>
      <c r="F700" s="14">
        <f>F701+F705+F709+F713</f>
        <v>2307</v>
      </c>
      <c r="G700" s="14">
        <f>G701+G705+G709+G713</f>
        <v>2307</v>
      </c>
      <c r="H700" s="14">
        <f t="shared" si="110"/>
        <v>0</v>
      </c>
      <c r="I700" s="77">
        <f t="shared" si="111"/>
        <v>100</v>
      </c>
      <c r="L700" s="192"/>
      <c r="M700" s="192"/>
      <c r="N700" s="192"/>
      <c r="O700" s="192"/>
      <c r="P700" s="192"/>
      <c r="Q700" s="192"/>
    </row>
    <row r="701" spans="1:17" s="27" customFormat="1" ht="12.75">
      <c r="A701" s="46" t="s">
        <v>209</v>
      </c>
      <c r="B701" s="13" t="s">
        <v>69</v>
      </c>
      <c r="C701" s="13" t="s">
        <v>69</v>
      </c>
      <c r="D701" s="45" t="s">
        <v>469</v>
      </c>
      <c r="E701" s="13"/>
      <c r="F701" s="14">
        <f aca="true" t="shared" si="115" ref="F701:G703">F702</f>
        <v>1948.1000000000001</v>
      </c>
      <c r="G701" s="14">
        <f t="shared" si="115"/>
        <v>1948.1</v>
      </c>
      <c r="H701" s="14">
        <f t="shared" si="110"/>
        <v>0</v>
      </c>
      <c r="I701" s="77">
        <f t="shared" si="111"/>
        <v>99.99999999999999</v>
      </c>
      <c r="L701" s="192"/>
      <c r="M701" s="192"/>
      <c r="N701" s="192"/>
      <c r="O701" s="192"/>
      <c r="P701" s="192"/>
      <c r="Q701" s="192"/>
    </row>
    <row r="702" spans="1:17" s="27" customFormat="1" ht="25.5">
      <c r="A702" s="46" t="s">
        <v>114</v>
      </c>
      <c r="B702" s="13" t="s">
        <v>69</v>
      </c>
      <c r="C702" s="13" t="s">
        <v>69</v>
      </c>
      <c r="D702" s="45" t="s">
        <v>469</v>
      </c>
      <c r="E702" s="13" t="s">
        <v>115</v>
      </c>
      <c r="F702" s="14">
        <f t="shared" si="115"/>
        <v>1948.1000000000001</v>
      </c>
      <c r="G702" s="14">
        <f t="shared" si="115"/>
        <v>1948.1</v>
      </c>
      <c r="H702" s="14">
        <f t="shared" si="110"/>
        <v>0</v>
      </c>
      <c r="I702" s="77">
        <f t="shared" si="111"/>
        <v>99.99999999999999</v>
      </c>
      <c r="L702" s="192"/>
      <c r="M702" s="192"/>
      <c r="N702" s="192"/>
      <c r="O702" s="192"/>
      <c r="P702" s="192"/>
      <c r="Q702" s="192"/>
    </row>
    <row r="703" spans="1:17" s="27" customFormat="1" ht="12.75">
      <c r="A703" s="46" t="s">
        <v>120</v>
      </c>
      <c r="B703" s="13" t="s">
        <v>69</v>
      </c>
      <c r="C703" s="13" t="s">
        <v>69</v>
      </c>
      <c r="D703" s="45" t="s">
        <v>469</v>
      </c>
      <c r="E703" s="13" t="s">
        <v>121</v>
      </c>
      <c r="F703" s="14">
        <f t="shared" si="115"/>
        <v>1948.1000000000001</v>
      </c>
      <c r="G703" s="14">
        <f t="shared" si="115"/>
        <v>1948.1</v>
      </c>
      <c r="H703" s="14">
        <f t="shared" si="110"/>
        <v>0</v>
      </c>
      <c r="I703" s="77">
        <f t="shared" si="111"/>
        <v>99.99999999999999</v>
      </c>
      <c r="L703" s="192"/>
      <c r="M703" s="192"/>
      <c r="N703" s="192"/>
      <c r="O703" s="192"/>
      <c r="P703" s="192"/>
      <c r="Q703" s="192"/>
    </row>
    <row r="704" spans="1:17" s="27" customFormat="1" ht="12.75">
      <c r="A704" s="46" t="s">
        <v>124</v>
      </c>
      <c r="B704" s="13" t="s">
        <v>69</v>
      </c>
      <c r="C704" s="13" t="s">
        <v>69</v>
      </c>
      <c r="D704" s="45" t="s">
        <v>469</v>
      </c>
      <c r="E704" s="13" t="s">
        <v>125</v>
      </c>
      <c r="F704" s="14">
        <f>'пр. 4 Вед'!G715</f>
        <v>1948.1000000000001</v>
      </c>
      <c r="G704" s="14">
        <f>'пр. 4 Вед'!H715</f>
        <v>1948.1</v>
      </c>
      <c r="H704" s="14">
        <f t="shared" si="110"/>
        <v>0</v>
      </c>
      <c r="I704" s="77">
        <f t="shared" si="111"/>
        <v>99.99999999999999</v>
      </c>
      <c r="L704" s="192"/>
      <c r="M704" s="192"/>
      <c r="N704" s="192"/>
      <c r="O704" s="192"/>
      <c r="P704" s="192"/>
      <c r="Q704" s="192"/>
    </row>
    <row r="705" spans="1:17" s="27" customFormat="1" ht="25.5">
      <c r="A705" s="46" t="s">
        <v>214</v>
      </c>
      <c r="B705" s="13" t="s">
        <v>69</v>
      </c>
      <c r="C705" s="13" t="s">
        <v>69</v>
      </c>
      <c r="D705" s="45" t="s">
        <v>470</v>
      </c>
      <c r="E705" s="13"/>
      <c r="F705" s="14">
        <f aca="true" t="shared" si="116" ref="F705:G707">F706</f>
        <v>13.3</v>
      </c>
      <c r="G705" s="14">
        <f t="shared" si="116"/>
        <v>13.3</v>
      </c>
      <c r="H705" s="14">
        <f t="shared" si="110"/>
        <v>0</v>
      </c>
      <c r="I705" s="77">
        <f t="shared" si="111"/>
        <v>100</v>
      </c>
      <c r="L705" s="192"/>
      <c r="M705" s="192"/>
      <c r="N705" s="192"/>
      <c r="O705" s="192"/>
      <c r="P705" s="192"/>
      <c r="Q705" s="192"/>
    </row>
    <row r="706" spans="1:17" s="27" customFormat="1" ht="25.5">
      <c r="A706" s="46" t="s">
        <v>114</v>
      </c>
      <c r="B706" s="13" t="s">
        <v>69</v>
      </c>
      <c r="C706" s="13" t="s">
        <v>69</v>
      </c>
      <c r="D706" s="45" t="s">
        <v>470</v>
      </c>
      <c r="E706" s="13" t="s">
        <v>115</v>
      </c>
      <c r="F706" s="14">
        <f t="shared" si="116"/>
        <v>13.3</v>
      </c>
      <c r="G706" s="14">
        <f t="shared" si="116"/>
        <v>13.3</v>
      </c>
      <c r="H706" s="14">
        <f t="shared" si="110"/>
        <v>0</v>
      </c>
      <c r="I706" s="77">
        <f t="shared" si="111"/>
        <v>100</v>
      </c>
      <c r="L706" s="192"/>
      <c r="M706" s="192"/>
      <c r="N706" s="192"/>
      <c r="O706" s="192"/>
      <c r="P706" s="192"/>
      <c r="Q706" s="192"/>
    </row>
    <row r="707" spans="1:17" s="27" customFormat="1" ht="12.75">
      <c r="A707" s="46" t="s">
        <v>120</v>
      </c>
      <c r="B707" s="13" t="s">
        <v>69</v>
      </c>
      <c r="C707" s="13" t="s">
        <v>69</v>
      </c>
      <c r="D707" s="45" t="s">
        <v>470</v>
      </c>
      <c r="E707" s="13" t="s">
        <v>121</v>
      </c>
      <c r="F707" s="14">
        <f t="shared" si="116"/>
        <v>13.3</v>
      </c>
      <c r="G707" s="14">
        <f t="shared" si="116"/>
        <v>13.3</v>
      </c>
      <c r="H707" s="14">
        <f t="shared" si="110"/>
        <v>0</v>
      </c>
      <c r="I707" s="77">
        <f t="shared" si="111"/>
        <v>100</v>
      </c>
      <c r="L707" s="192"/>
      <c r="M707" s="192"/>
      <c r="N707" s="192"/>
      <c r="O707" s="192"/>
      <c r="P707" s="192"/>
      <c r="Q707" s="192"/>
    </row>
    <row r="708" spans="1:17" s="27" customFormat="1" ht="12.75">
      <c r="A708" s="46" t="s">
        <v>124</v>
      </c>
      <c r="B708" s="13" t="s">
        <v>69</v>
      </c>
      <c r="C708" s="13" t="s">
        <v>69</v>
      </c>
      <c r="D708" s="45" t="s">
        <v>470</v>
      </c>
      <c r="E708" s="13" t="s">
        <v>125</v>
      </c>
      <c r="F708" s="14">
        <f>'пр. 4 Вед'!G719</f>
        <v>13.3</v>
      </c>
      <c r="G708" s="14">
        <f>'пр. 4 Вед'!H719</f>
        <v>13.3</v>
      </c>
      <c r="H708" s="14">
        <f t="shared" si="110"/>
        <v>0</v>
      </c>
      <c r="I708" s="77">
        <f t="shared" si="111"/>
        <v>100</v>
      </c>
      <c r="L708" s="192"/>
      <c r="M708" s="192"/>
      <c r="N708" s="192"/>
      <c r="O708" s="192"/>
      <c r="P708" s="192"/>
      <c r="Q708" s="192"/>
    </row>
    <row r="709" spans="1:17" s="27" customFormat="1" ht="12.75">
      <c r="A709" s="46" t="s">
        <v>211</v>
      </c>
      <c r="B709" s="13" t="s">
        <v>69</v>
      </c>
      <c r="C709" s="13" t="s">
        <v>69</v>
      </c>
      <c r="D709" s="45" t="s">
        <v>471</v>
      </c>
      <c r="E709" s="13"/>
      <c r="F709" s="14">
        <f aca="true" t="shared" si="117" ref="F709:G711">F710</f>
        <v>239.1</v>
      </c>
      <c r="G709" s="14">
        <f t="shared" si="117"/>
        <v>239.1</v>
      </c>
      <c r="H709" s="14">
        <f t="shared" si="110"/>
        <v>0</v>
      </c>
      <c r="I709" s="77">
        <f t="shared" si="111"/>
        <v>100</v>
      </c>
      <c r="L709" s="192"/>
      <c r="M709" s="192"/>
      <c r="N709" s="192"/>
      <c r="O709" s="192"/>
      <c r="P709" s="192"/>
      <c r="Q709" s="192"/>
    </row>
    <row r="710" spans="1:17" s="27" customFormat="1" ht="25.5">
      <c r="A710" s="46" t="s">
        <v>114</v>
      </c>
      <c r="B710" s="13" t="s">
        <v>69</v>
      </c>
      <c r="C710" s="13" t="s">
        <v>69</v>
      </c>
      <c r="D710" s="45" t="s">
        <v>471</v>
      </c>
      <c r="E710" s="13" t="s">
        <v>115</v>
      </c>
      <c r="F710" s="14">
        <f t="shared" si="117"/>
        <v>239.1</v>
      </c>
      <c r="G710" s="14">
        <f t="shared" si="117"/>
        <v>239.1</v>
      </c>
      <c r="H710" s="14">
        <f t="shared" si="110"/>
        <v>0</v>
      </c>
      <c r="I710" s="77">
        <f t="shared" si="111"/>
        <v>100</v>
      </c>
      <c r="L710" s="192"/>
      <c r="M710" s="192"/>
      <c r="N710" s="192"/>
      <c r="O710" s="192"/>
      <c r="P710" s="192"/>
      <c r="Q710" s="192"/>
    </row>
    <row r="711" spans="1:17" s="27" customFormat="1" ht="12.75">
      <c r="A711" s="46" t="s">
        <v>120</v>
      </c>
      <c r="B711" s="13" t="s">
        <v>69</v>
      </c>
      <c r="C711" s="13" t="s">
        <v>69</v>
      </c>
      <c r="D711" s="45" t="s">
        <v>471</v>
      </c>
      <c r="E711" s="13" t="s">
        <v>121</v>
      </c>
      <c r="F711" s="14">
        <f t="shared" si="117"/>
        <v>239.1</v>
      </c>
      <c r="G711" s="14">
        <f t="shared" si="117"/>
        <v>239.1</v>
      </c>
      <c r="H711" s="14">
        <f t="shared" si="110"/>
        <v>0</v>
      </c>
      <c r="I711" s="77">
        <f t="shared" si="111"/>
        <v>100</v>
      </c>
      <c r="L711" s="192"/>
      <c r="M711" s="192"/>
      <c r="N711" s="192"/>
      <c r="O711" s="192"/>
      <c r="P711" s="192"/>
      <c r="Q711" s="192"/>
    </row>
    <row r="712" spans="1:17" s="27" customFormat="1" ht="12.75">
      <c r="A712" s="46" t="s">
        <v>124</v>
      </c>
      <c r="B712" s="13" t="s">
        <v>69</v>
      </c>
      <c r="C712" s="13" t="s">
        <v>69</v>
      </c>
      <c r="D712" s="45" t="s">
        <v>471</v>
      </c>
      <c r="E712" s="13" t="s">
        <v>125</v>
      </c>
      <c r="F712" s="14">
        <f>'пр. 4 Вед'!G723</f>
        <v>239.1</v>
      </c>
      <c r="G712" s="14">
        <f>'пр. 4 Вед'!H723</f>
        <v>239.1</v>
      </c>
      <c r="H712" s="14">
        <f t="shared" si="110"/>
        <v>0</v>
      </c>
      <c r="I712" s="77">
        <f t="shared" si="111"/>
        <v>100</v>
      </c>
      <c r="L712" s="192"/>
      <c r="M712" s="192"/>
      <c r="N712" s="192"/>
      <c r="O712" s="192"/>
      <c r="P712" s="192"/>
      <c r="Q712" s="192"/>
    </row>
    <row r="713" spans="1:17" s="27" customFormat="1" ht="25.5">
      <c r="A713" s="46" t="s">
        <v>387</v>
      </c>
      <c r="B713" s="13" t="s">
        <v>69</v>
      </c>
      <c r="C713" s="13" t="s">
        <v>69</v>
      </c>
      <c r="D713" s="45" t="s">
        <v>472</v>
      </c>
      <c r="E713" s="13"/>
      <c r="F713" s="14">
        <f aca="true" t="shared" si="118" ref="F713:G715">F714</f>
        <v>106.5</v>
      </c>
      <c r="G713" s="14">
        <f t="shared" si="118"/>
        <v>106.5</v>
      </c>
      <c r="H713" s="14">
        <f aca="true" t="shared" si="119" ref="H713:H776">F713-G713</f>
        <v>0</v>
      </c>
      <c r="I713" s="77">
        <f aca="true" t="shared" si="120" ref="I713:I776">G713/F713*100</f>
        <v>100</v>
      </c>
      <c r="L713" s="192"/>
      <c r="M713" s="192"/>
      <c r="N713" s="192"/>
      <c r="O713" s="192"/>
      <c r="P713" s="192"/>
      <c r="Q713" s="192"/>
    </row>
    <row r="714" spans="1:17" s="27" customFormat="1" ht="25.5">
      <c r="A714" s="46" t="s">
        <v>114</v>
      </c>
      <c r="B714" s="13" t="s">
        <v>69</v>
      </c>
      <c r="C714" s="13" t="s">
        <v>69</v>
      </c>
      <c r="D714" s="45" t="s">
        <v>472</v>
      </c>
      <c r="E714" s="13" t="s">
        <v>115</v>
      </c>
      <c r="F714" s="14">
        <f t="shared" si="118"/>
        <v>106.5</v>
      </c>
      <c r="G714" s="14">
        <f t="shared" si="118"/>
        <v>106.5</v>
      </c>
      <c r="H714" s="14">
        <f t="shared" si="119"/>
        <v>0</v>
      </c>
      <c r="I714" s="77">
        <f t="shared" si="120"/>
        <v>100</v>
      </c>
      <c r="L714" s="192"/>
      <c r="M714" s="192"/>
      <c r="N714" s="192"/>
      <c r="O714" s="192"/>
      <c r="P714" s="192"/>
      <c r="Q714" s="192"/>
    </row>
    <row r="715" spans="1:17" s="27" customFormat="1" ht="12.75">
      <c r="A715" s="46" t="s">
        <v>120</v>
      </c>
      <c r="B715" s="13" t="s">
        <v>69</v>
      </c>
      <c r="C715" s="13" t="s">
        <v>69</v>
      </c>
      <c r="D715" s="45" t="s">
        <v>472</v>
      </c>
      <c r="E715" s="13" t="s">
        <v>121</v>
      </c>
      <c r="F715" s="14">
        <f t="shared" si="118"/>
        <v>106.5</v>
      </c>
      <c r="G715" s="14">
        <f t="shared" si="118"/>
        <v>106.5</v>
      </c>
      <c r="H715" s="14">
        <f t="shared" si="119"/>
        <v>0</v>
      </c>
      <c r="I715" s="77">
        <f t="shared" si="120"/>
        <v>100</v>
      </c>
      <c r="L715" s="192"/>
      <c r="M715" s="192"/>
      <c r="N715" s="192"/>
      <c r="O715" s="192"/>
      <c r="P715" s="192"/>
      <c r="Q715" s="192"/>
    </row>
    <row r="716" spans="1:17" s="27" customFormat="1" ht="12.75">
      <c r="A716" s="46" t="s">
        <v>124</v>
      </c>
      <c r="B716" s="13" t="s">
        <v>69</v>
      </c>
      <c r="C716" s="13" t="s">
        <v>69</v>
      </c>
      <c r="D716" s="45" t="s">
        <v>472</v>
      </c>
      <c r="E716" s="13" t="s">
        <v>125</v>
      </c>
      <c r="F716" s="14">
        <f>'пр. 4 Вед'!G727</f>
        <v>106.5</v>
      </c>
      <c r="G716" s="14">
        <f>'пр. 4 Вед'!H727</f>
        <v>106.5</v>
      </c>
      <c r="H716" s="14">
        <f t="shared" si="119"/>
        <v>0</v>
      </c>
      <c r="I716" s="77">
        <f t="shared" si="120"/>
        <v>100</v>
      </c>
      <c r="L716" s="192"/>
      <c r="M716" s="192"/>
      <c r="N716" s="192"/>
      <c r="O716" s="192"/>
      <c r="P716" s="192"/>
      <c r="Q716" s="192"/>
    </row>
    <row r="717" spans="1:17" s="27" customFormat="1" ht="27" customHeight="1">
      <c r="A717" s="46" t="s">
        <v>365</v>
      </c>
      <c r="B717" s="13" t="s">
        <v>69</v>
      </c>
      <c r="C717" s="13" t="s">
        <v>69</v>
      </c>
      <c r="D717" s="45" t="s">
        <v>227</v>
      </c>
      <c r="E717" s="13"/>
      <c r="F717" s="14">
        <f>F718+F723</f>
        <v>961.4</v>
      </c>
      <c r="G717" s="14">
        <f>G718+G723</f>
        <v>285.4</v>
      </c>
      <c r="H717" s="14">
        <f t="shared" si="119"/>
        <v>676</v>
      </c>
      <c r="I717" s="77">
        <f t="shared" si="120"/>
        <v>29.685874765966297</v>
      </c>
      <c r="L717" s="192"/>
      <c r="M717" s="192"/>
      <c r="N717" s="192"/>
      <c r="O717" s="192"/>
      <c r="P717" s="192"/>
      <c r="Q717" s="192"/>
    </row>
    <row r="718" spans="1:17" s="27" customFormat="1" ht="12.75">
      <c r="A718" s="46" t="s">
        <v>297</v>
      </c>
      <c r="B718" s="13" t="s">
        <v>69</v>
      </c>
      <c r="C718" s="13" t="s">
        <v>69</v>
      </c>
      <c r="D718" s="45" t="s">
        <v>481</v>
      </c>
      <c r="E718" s="13"/>
      <c r="F718" s="14">
        <f aca="true" t="shared" si="121" ref="F718:G721">F719</f>
        <v>50</v>
      </c>
      <c r="G718" s="14">
        <f t="shared" si="121"/>
        <v>50</v>
      </c>
      <c r="H718" s="14">
        <f t="shared" si="119"/>
        <v>0</v>
      </c>
      <c r="I718" s="77">
        <f t="shared" si="120"/>
        <v>100</v>
      </c>
      <c r="L718" s="192"/>
      <c r="M718" s="192"/>
      <c r="N718" s="192"/>
      <c r="O718" s="192"/>
      <c r="P718" s="192"/>
      <c r="Q718" s="192"/>
    </row>
    <row r="719" spans="1:17" s="27" customFormat="1" ht="12.75">
      <c r="A719" s="46" t="s">
        <v>204</v>
      </c>
      <c r="B719" s="13" t="s">
        <v>69</v>
      </c>
      <c r="C719" s="13" t="s">
        <v>69</v>
      </c>
      <c r="D719" s="45" t="s">
        <v>482</v>
      </c>
      <c r="E719" s="13"/>
      <c r="F719" s="14">
        <f t="shared" si="121"/>
        <v>50</v>
      </c>
      <c r="G719" s="14">
        <f t="shared" si="121"/>
        <v>50</v>
      </c>
      <c r="H719" s="14">
        <f t="shared" si="119"/>
        <v>0</v>
      </c>
      <c r="I719" s="77">
        <f t="shared" si="120"/>
        <v>100</v>
      </c>
      <c r="L719" s="192"/>
      <c r="M719" s="192"/>
      <c r="N719" s="192"/>
      <c r="O719" s="192"/>
      <c r="P719" s="192"/>
      <c r="Q719" s="192"/>
    </row>
    <row r="720" spans="1:17" s="27" customFormat="1" ht="12.75">
      <c r="A720" s="46" t="s">
        <v>770</v>
      </c>
      <c r="B720" s="13" t="s">
        <v>69</v>
      </c>
      <c r="C720" s="13" t="s">
        <v>69</v>
      </c>
      <c r="D720" s="45" t="s">
        <v>482</v>
      </c>
      <c r="E720" s="13" t="s">
        <v>113</v>
      </c>
      <c r="F720" s="14">
        <f t="shared" si="121"/>
        <v>50</v>
      </c>
      <c r="G720" s="14">
        <f t="shared" si="121"/>
        <v>50</v>
      </c>
      <c r="H720" s="14">
        <f t="shared" si="119"/>
        <v>0</v>
      </c>
      <c r="I720" s="77">
        <f t="shared" si="120"/>
        <v>100</v>
      </c>
      <c r="L720" s="192"/>
      <c r="M720" s="192"/>
      <c r="N720" s="192"/>
      <c r="O720" s="192"/>
      <c r="P720" s="192"/>
      <c r="Q720" s="192"/>
    </row>
    <row r="721" spans="1:17" s="27" customFormat="1" ht="30" customHeight="1">
      <c r="A721" s="46" t="s">
        <v>106</v>
      </c>
      <c r="B721" s="13" t="s">
        <v>69</v>
      </c>
      <c r="C721" s="13" t="s">
        <v>69</v>
      </c>
      <c r="D721" s="45" t="s">
        <v>482</v>
      </c>
      <c r="E721" s="13" t="s">
        <v>107</v>
      </c>
      <c r="F721" s="14">
        <f t="shared" si="121"/>
        <v>50</v>
      </c>
      <c r="G721" s="14">
        <f t="shared" si="121"/>
        <v>50</v>
      </c>
      <c r="H721" s="14">
        <f t="shared" si="119"/>
        <v>0</v>
      </c>
      <c r="I721" s="77">
        <f t="shared" si="120"/>
        <v>100</v>
      </c>
      <c r="L721" s="192"/>
      <c r="M721" s="192"/>
      <c r="N721" s="192"/>
      <c r="O721" s="192"/>
      <c r="P721" s="192"/>
      <c r="Q721" s="192"/>
    </row>
    <row r="722" spans="1:17" s="27" customFormat="1" ht="32.25" customHeight="1">
      <c r="A722" s="46" t="s">
        <v>108</v>
      </c>
      <c r="B722" s="13" t="s">
        <v>69</v>
      </c>
      <c r="C722" s="13" t="s">
        <v>69</v>
      </c>
      <c r="D722" s="45" t="s">
        <v>482</v>
      </c>
      <c r="E722" s="13" t="s">
        <v>109</v>
      </c>
      <c r="F722" s="14">
        <f>'пр. 4 Вед'!G881</f>
        <v>50</v>
      </c>
      <c r="G722" s="14">
        <f>'пр. 4 Вед'!H881</f>
        <v>50</v>
      </c>
      <c r="H722" s="14">
        <f t="shared" si="119"/>
        <v>0</v>
      </c>
      <c r="I722" s="77">
        <f t="shared" si="120"/>
        <v>100</v>
      </c>
      <c r="L722" s="192"/>
      <c r="M722" s="192"/>
      <c r="N722" s="192"/>
      <c r="O722" s="192"/>
      <c r="P722" s="192"/>
      <c r="Q722" s="192"/>
    </row>
    <row r="723" spans="1:17" s="27" customFormat="1" ht="12.75">
      <c r="A723" s="46" t="s">
        <v>298</v>
      </c>
      <c r="B723" s="13" t="s">
        <v>69</v>
      </c>
      <c r="C723" s="13" t="s">
        <v>69</v>
      </c>
      <c r="D723" s="45" t="s">
        <v>483</v>
      </c>
      <c r="E723" s="13"/>
      <c r="F723" s="14">
        <f>F724+F728+F736+F740+F744+F748</f>
        <v>911.4</v>
      </c>
      <c r="G723" s="14">
        <f>G724+G728+G736+G740+G744+G748</f>
        <v>235.4</v>
      </c>
      <c r="H723" s="14">
        <f t="shared" si="119"/>
        <v>676</v>
      </c>
      <c r="I723" s="77">
        <f t="shared" si="120"/>
        <v>25.828395874478826</v>
      </c>
      <c r="L723" s="192"/>
      <c r="M723" s="192"/>
      <c r="N723" s="192"/>
      <c r="O723" s="192"/>
      <c r="P723" s="192"/>
      <c r="Q723" s="192"/>
    </row>
    <row r="724" spans="1:17" s="27" customFormat="1" ht="12.75">
      <c r="A724" s="46" t="s">
        <v>228</v>
      </c>
      <c r="B724" s="13" t="s">
        <v>69</v>
      </c>
      <c r="C724" s="13" t="s">
        <v>69</v>
      </c>
      <c r="D724" s="45" t="s">
        <v>484</v>
      </c>
      <c r="E724" s="13"/>
      <c r="F724" s="14">
        <f aca="true" t="shared" si="122" ref="F724:G726">F725</f>
        <v>95</v>
      </c>
      <c r="G724" s="14">
        <f t="shared" si="122"/>
        <v>91.7</v>
      </c>
      <c r="H724" s="14">
        <f t="shared" si="119"/>
        <v>3.299999999999997</v>
      </c>
      <c r="I724" s="77">
        <f t="shared" si="120"/>
        <v>96.52631578947368</v>
      </c>
      <c r="L724" s="192"/>
      <c r="M724" s="192"/>
      <c r="N724" s="192"/>
      <c r="O724" s="192"/>
      <c r="P724" s="192"/>
      <c r="Q724" s="192"/>
    </row>
    <row r="725" spans="1:17" s="27" customFormat="1" ht="12.75">
      <c r="A725" s="46" t="s">
        <v>770</v>
      </c>
      <c r="B725" s="13" t="s">
        <v>69</v>
      </c>
      <c r="C725" s="13" t="s">
        <v>69</v>
      </c>
      <c r="D725" s="45" t="s">
        <v>484</v>
      </c>
      <c r="E725" s="13" t="s">
        <v>113</v>
      </c>
      <c r="F725" s="14">
        <f t="shared" si="122"/>
        <v>95</v>
      </c>
      <c r="G725" s="14">
        <f t="shared" si="122"/>
        <v>91.7</v>
      </c>
      <c r="H725" s="14">
        <f t="shared" si="119"/>
        <v>3.299999999999997</v>
      </c>
      <c r="I725" s="77">
        <f t="shared" si="120"/>
        <v>96.52631578947368</v>
      </c>
      <c r="L725" s="192"/>
      <c r="M725" s="192"/>
      <c r="N725" s="192"/>
      <c r="O725" s="192"/>
      <c r="P725" s="192"/>
      <c r="Q725" s="192"/>
    </row>
    <row r="726" spans="1:17" s="27" customFormat="1" ht="27.75" customHeight="1">
      <c r="A726" s="46" t="s">
        <v>106</v>
      </c>
      <c r="B726" s="13" t="s">
        <v>69</v>
      </c>
      <c r="C726" s="13" t="s">
        <v>69</v>
      </c>
      <c r="D726" s="45" t="s">
        <v>484</v>
      </c>
      <c r="E726" s="13" t="s">
        <v>107</v>
      </c>
      <c r="F726" s="14">
        <f t="shared" si="122"/>
        <v>95</v>
      </c>
      <c r="G726" s="14">
        <f t="shared" si="122"/>
        <v>91.7</v>
      </c>
      <c r="H726" s="14">
        <f t="shared" si="119"/>
        <v>3.299999999999997</v>
      </c>
      <c r="I726" s="77">
        <f t="shared" si="120"/>
        <v>96.52631578947368</v>
      </c>
      <c r="L726" s="192"/>
      <c r="M726" s="192"/>
      <c r="N726" s="192"/>
      <c r="O726" s="192"/>
      <c r="P726" s="192"/>
      <c r="Q726" s="192"/>
    </row>
    <row r="727" spans="1:17" s="27" customFormat="1" ht="30" customHeight="1">
      <c r="A727" s="46" t="s">
        <v>108</v>
      </c>
      <c r="B727" s="13" t="s">
        <v>69</v>
      </c>
      <c r="C727" s="13" t="s">
        <v>69</v>
      </c>
      <c r="D727" s="45" t="s">
        <v>484</v>
      </c>
      <c r="E727" s="13" t="s">
        <v>109</v>
      </c>
      <c r="F727" s="14">
        <f>'пр. 4 Вед'!G886</f>
        <v>95</v>
      </c>
      <c r="G727" s="14">
        <f>'пр. 4 Вед'!H886</f>
        <v>91.7</v>
      </c>
      <c r="H727" s="14">
        <f t="shared" si="119"/>
        <v>3.299999999999997</v>
      </c>
      <c r="I727" s="77">
        <f t="shared" si="120"/>
        <v>96.52631578947368</v>
      </c>
      <c r="L727" s="192"/>
      <c r="M727" s="192"/>
      <c r="N727" s="192"/>
      <c r="O727" s="192"/>
      <c r="P727" s="192"/>
      <c r="Q727" s="192"/>
    </row>
    <row r="728" spans="1:17" s="27" customFormat="1" ht="12.75">
      <c r="A728" s="46" t="s">
        <v>229</v>
      </c>
      <c r="B728" s="13" t="s">
        <v>69</v>
      </c>
      <c r="C728" s="13" t="s">
        <v>69</v>
      </c>
      <c r="D728" s="45" t="s">
        <v>485</v>
      </c>
      <c r="E728" s="13"/>
      <c r="F728" s="14">
        <f>F729+F733</f>
        <v>90</v>
      </c>
      <c r="G728" s="14">
        <f>G729+G733</f>
        <v>88.7</v>
      </c>
      <c r="H728" s="14">
        <f t="shared" si="119"/>
        <v>1.2999999999999972</v>
      </c>
      <c r="I728" s="77">
        <f t="shared" si="120"/>
        <v>98.55555555555556</v>
      </c>
      <c r="L728" s="192"/>
      <c r="M728" s="192"/>
      <c r="N728" s="192"/>
      <c r="O728" s="192"/>
      <c r="P728" s="192"/>
      <c r="Q728" s="192"/>
    </row>
    <row r="729" spans="1:17" s="27" customFormat="1" ht="38.25">
      <c r="A729" s="46" t="s">
        <v>110</v>
      </c>
      <c r="B729" s="13" t="s">
        <v>69</v>
      </c>
      <c r="C729" s="13" t="s">
        <v>69</v>
      </c>
      <c r="D729" s="45" t="s">
        <v>485</v>
      </c>
      <c r="E729" s="13" t="s">
        <v>111</v>
      </c>
      <c r="F729" s="14">
        <f>F730</f>
        <v>76</v>
      </c>
      <c r="G729" s="14">
        <f>G730</f>
        <v>74.7</v>
      </c>
      <c r="H729" s="14">
        <f t="shared" si="119"/>
        <v>1.2999999999999972</v>
      </c>
      <c r="I729" s="77">
        <f t="shared" si="120"/>
        <v>98.28947368421052</v>
      </c>
      <c r="L729" s="192"/>
      <c r="M729" s="192"/>
      <c r="N729" s="192"/>
      <c r="O729" s="192"/>
      <c r="P729" s="192"/>
      <c r="Q729" s="192"/>
    </row>
    <row r="730" spans="1:17" s="27" customFormat="1" ht="12.75">
      <c r="A730" s="69" t="s">
        <v>406</v>
      </c>
      <c r="B730" s="13" t="s">
        <v>69</v>
      </c>
      <c r="C730" s="13" t="s">
        <v>69</v>
      </c>
      <c r="D730" s="45" t="s">
        <v>485</v>
      </c>
      <c r="E730" s="13" t="s">
        <v>408</v>
      </c>
      <c r="F730" s="14">
        <f>F731+F732</f>
        <v>76</v>
      </c>
      <c r="G730" s="14">
        <f>G731+G732</f>
        <v>74.7</v>
      </c>
      <c r="H730" s="14">
        <f t="shared" si="119"/>
        <v>1.2999999999999972</v>
      </c>
      <c r="I730" s="77">
        <f t="shared" si="120"/>
        <v>98.28947368421052</v>
      </c>
      <c r="L730" s="192"/>
      <c r="M730" s="192"/>
      <c r="N730" s="192"/>
      <c r="O730" s="192"/>
      <c r="P730" s="192"/>
      <c r="Q730" s="192"/>
    </row>
    <row r="731" spans="1:17" s="27" customFormat="1" ht="12.75">
      <c r="A731" s="46" t="s">
        <v>574</v>
      </c>
      <c r="B731" s="13" t="s">
        <v>69</v>
      </c>
      <c r="C731" s="13" t="s">
        <v>69</v>
      </c>
      <c r="D731" s="45" t="s">
        <v>485</v>
      </c>
      <c r="E731" s="13" t="s">
        <v>407</v>
      </c>
      <c r="F731" s="14">
        <f>'пр. 4 Вед'!G890</f>
        <v>35</v>
      </c>
      <c r="G731" s="14">
        <f>'пр. 4 Вед'!H890</f>
        <v>33.7</v>
      </c>
      <c r="H731" s="14">
        <f t="shared" si="119"/>
        <v>1.2999999999999972</v>
      </c>
      <c r="I731" s="77">
        <f t="shared" si="120"/>
        <v>96.28571428571429</v>
      </c>
      <c r="L731" s="192"/>
      <c r="M731" s="192"/>
      <c r="N731" s="192"/>
      <c r="O731" s="192"/>
      <c r="P731" s="192"/>
      <c r="Q731" s="192"/>
    </row>
    <row r="732" spans="1:17" s="27" customFormat="1" ht="25.5">
      <c r="A732" s="9" t="s">
        <v>753</v>
      </c>
      <c r="B732" s="13" t="s">
        <v>69</v>
      </c>
      <c r="C732" s="13" t="s">
        <v>69</v>
      </c>
      <c r="D732" s="45" t="s">
        <v>485</v>
      </c>
      <c r="E732" s="13" t="s">
        <v>754</v>
      </c>
      <c r="F732" s="14">
        <f>'пр. 4 Вед'!G891</f>
        <v>41</v>
      </c>
      <c r="G732" s="14">
        <f>'пр. 4 Вед'!H891</f>
        <v>41</v>
      </c>
      <c r="H732" s="14">
        <f t="shared" si="119"/>
        <v>0</v>
      </c>
      <c r="I732" s="77">
        <f t="shared" si="120"/>
        <v>100</v>
      </c>
      <c r="L732" s="192"/>
      <c r="M732" s="192"/>
      <c r="N732" s="192"/>
      <c r="O732" s="192"/>
      <c r="P732" s="192"/>
      <c r="Q732" s="192"/>
    </row>
    <row r="733" spans="1:17" s="27" customFormat="1" ht="12.75">
      <c r="A733" s="46" t="s">
        <v>770</v>
      </c>
      <c r="B733" s="13" t="s">
        <v>69</v>
      </c>
      <c r="C733" s="13" t="s">
        <v>69</v>
      </c>
      <c r="D733" s="45" t="s">
        <v>485</v>
      </c>
      <c r="E733" s="13" t="s">
        <v>113</v>
      </c>
      <c r="F733" s="14">
        <f>F734</f>
        <v>14</v>
      </c>
      <c r="G733" s="14">
        <f>G734</f>
        <v>14</v>
      </c>
      <c r="H733" s="14">
        <f t="shared" si="119"/>
        <v>0</v>
      </c>
      <c r="I733" s="77">
        <f t="shared" si="120"/>
        <v>100</v>
      </c>
      <c r="L733" s="192"/>
      <c r="M733" s="192"/>
      <c r="N733" s="192"/>
      <c r="O733" s="192"/>
      <c r="P733" s="192"/>
      <c r="Q733" s="192"/>
    </row>
    <row r="734" spans="1:17" s="27" customFormat="1" ht="26.25" customHeight="1">
      <c r="A734" s="46" t="s">
        <v>106</v>
      </c>
      <c r="B734" s="13" t="s">
        <v>69</v>
      </c>
      <c r="C734" s="13" t="s">
        <v>69</v>
      </c>
      <c r="D734" s="45" t="s">
        <v>485</v>
      </c>
      <c r="E734" s="13" t="s">
        <v>107</v>
      </c>
      <c r="F734" s="14">
        <f>F735</f>
        <v>14</v>
      </c>
      <c r="G734" s="14">
        <f>G735</f>
        <v>14</v>
      </c>
      <c r="H734" s="14">
        <f t="shared" si="119"/>
        <v>0</v>
      </c>
      <c r="I734" s="77">
        <f t="shared" si="120"/>
        <v>100</v>
      </c>
      <c r="L734" s="192"/>
      <c r="M734" s="192"/>
      <c r="N734" s="192"/>
      <c r="O734" s="192"/>
      <c r="P734" s="192"/>
      <c r="Q734" s="192"/>
    </row>
    <row r="735" spans="1:17" s="27" customFormat="1" ht="27" customHeight="1">
      <c r="A735" s="46" t="s">
        <v>108</v>
      </c>
      <c r="B735" s="13" t="s">
        <v>69</v>
      </c>
      <c r="C735" s="13" t="s">
        <v>69</v>
      </c>
      <c r="D735" s="45" t="s">
        <v>485</v>
      </c>
      <c r="E735" s="13" t="s">
        <v>109</v>
      </c>
      <c r="F735" s="14">
        <f>'пр. 4 Вед'!G894</f>
        <v>14</v>
      </c>
      <c r="G735" s="14">
        <f>'пр. 4 Вед'!H894</f>
        <v>14</v>
      </c>
      <c r="H735" s="14">
        <f t="shared" si="119"/>
        <v>0</v>
      </c>
      <c r="I735" s="77">
        <f t="shared" si="120"/>
        <v>100</v>
      </c>
      <c r="L735" s="192"/>
      <c r="M735" s="192"/>
      <c r="N735" s="192"/>
      <c r="O735" s="192"/>
      <c r="P735" s="192"/>
      <c r="Q735" s="192"/>
    </row>
    <row r="736" spans="1:17" s="27" customFormat="1" ht="12.75">
      <c r="A736" s="46" t="s">
        <v>230</v>
      </c>
      <c r="B736" s="13" t="s">
        <v>69</v>
      </c>
      <c r="C736" s="13" t="s">
        <v>69</v>
      </c>
      <c r="D736" s="45" t="s">
        <v>486</v>
      </c>
      <c r="E736" s="13"/>
      <c r="F736" s="14">
        <f aca="true" t="shared" si="123" ref="F736:G738">F737</f>
        <v>35</v>
      </c>
      <c r="G736" s="14">
        <f t="shared" si="123"/>
        <v>35</v>
      </c>
      <c r="H736" s="14">
        <f t="shared" si="119"/>
        <v>0</v>
      </c>
      <c r="I736" s="77">
        <f t="shared" si="120"/>
        <v>100</v>
      </c>
      <c r="L736" s="192"/>
      <c r="M736" s="192"/>
      <c r="N736" s="192"/>
      <c r="O736" s="192"/>
      <c r="P736" s="192"/>
      <c r="Q736" s="192"/>
    </row>
    <row r="737" spans="1:17" s="27" customFormat="1" ht="12.75">
      <c r="A737" s="46" t="s">
        <v>770</v>
      </c>
      <c r="B737" s="13" t="s">
        <v>69</v>
      </c>
      <c r="C737" s="13" t="s">
        <v>69</v>
      </c>
      <c r="D737" s="45" t="s">
        <v>486</v>
      </c>
      <c r="E737" s="13" t="s">
        <v>113</v>
      </c>
      <c r="F737" s="14">
        <f t="shared" si="123"/>
        <v>35</v>
      </c>
      <c r="G737" s="14">
        <f t="shared" si="123"/>
        <v>35</v>
      </c>
      <c r="H737" s="14">
        <f t="shared" si="119"/>
        <v>0</v>
      </c>
      <c r="I737" s="77">
        <f t="shared" si="120"/>
        <v>100</v>
      </c>
      <c r="L737" s="192"/>
      <c r="M737" s="192"/>
      <c r="N737" s="192"/>
      <c r="O737" s="192"/>
      <c r="P737" s="192"/>
      <c r="Q737" s="192"/>
    </row>
    <row r="738" spans="1:17" s="27" customFormat="1" ht="30.75" customHeight="1">
      <c r="A738" s="46" t="s">
        <v>106</v>
      </c>
      <c r="B738" s="13" t="s">
        <v>69</v>
      </c>
      <c r="C738" s="13" t="s">
        <v>69</v>
      </c>
      <c r="D738" s="45" t="s">
        <v>486</v>
      </c>
      <c r="E738" s="13" t="s">
        <v>107</v>
      </c>
      <c r="F738" s="14">
        <f t="shared" si="123"/>
        <v>35</v>
      </c>
      <c r="G738" s="14">
        <f t="shared" si="123"/>
        <v>35</v>
      </c>
      <c r="H738" s="14">
        <f t="shared" si="119"/>
        <v>0</v>
      </c>
      <c r="I738" s="77">
        <f t="shared" si="120"/>
        <v>100</v>
      </c>
      <c r="L738" s="192"/>
      <c r="M738" s="192"/>
      <c r="N738" s="192"/>
      <c r="O738" s="192"/>
      <c r="P738" s="192"/>
      <c r="Q738" s="192"/>
    </row>
    <row r="739" spans="1:17" s="27" customFormat="1" ht="27" customHeight="1">
      <c r="A739" s="46" t="s">
        <v>108</v>
      </c>
      <c r="B739" s="13" t="s">
        <v>69</v>
      </c>
      <c r="C739" s="13" t="s">
        <v>69</v>
      </c>
      <c r="D739" s="45" t="s">
        <v>486</v>
      </c>
      <c r="E739" s="13" t="s">
        <v>109</v>
      </c>
      <c r="F739" s="14">
        <f>'пр. 4 Вед'!G898</f>
        <v>35</v>
      </c>
      <c r="G739" s="14">
        <f>'пр. 4 Вед'!H898</f>
        <v>35</v>
      </c>
      <c r="H739" s="14">
        <f t="shared" si="119"/>
        <v>0</v>
      </c>
      <c r="I739" s="77">
        <f t="shared" si="120"/>
        <v>100</v>
      </c>
      <c r="L739" s="192"/>
      <c r="M739" s="192"/>
      <c r="N739" s="192"/>
      <c r="O739" s="192"/>
      <c r="P739" s="192"/>
      <c r="Q739" s="192"/>
    </row>
    <row r="740" spans="1:17" s="27" customFormat="1" ht="12.75">
      <c r="A740" s="46" t="s">
        <v>231</v>
      </c>
      <c r="B740" s="13" t="s">
        <v>69</v>
      </c>
      <c r="C740" s="13" t="s">
        <v>69</v>
      </c>
      <c r="D740" s="45" t="s">
        <v>487</v>
      </c>
      <c r="E740" s="13"/>
      <c r="F740" s="14">
        <f aca="true" t="shared" si="124" ref="F740:G742">F741</f>
        <v>20</v>
      </c>
      <c r="G740" s="14">
        <f t="shared" si="124"/>
        <v>20</v>
      </c>
      <c r="H740" s="14">
        <f t="shared" si="119"/>
        <v>0</v>
      </c>
      <c r="I740" s="77">
        <f t="shared" si="120"/>
        <v>100</v>
      </c>
      <c r="L740" s="192"/>
      <c r="M740" s="192"/>
      <c r="N740" s="192"/>
      <c r="O740" s="192"/>
      <c r="P740" s="192"/>
      <c r="Q740" s="192"/>
    </row>
    <row r="741" spans="1:17" s="27" customFormat="1" ht="12.75">
      <c r="A741" s="46" t="s">
        <v>770</v>
      </c>
      <c r="B741" s="13" t="s">
        <v>69</v>
      </c>
      <c r="C741" s="13" t="s">
        <v>69</v>
      </c>
      <c r="D741" s="45" t="s">
        <v>487</v>
      </c>
      <c r="E741" s="13" t="s">
        <v>113</v>
      </c>
      <c r="F741" s="14">
        <f t="shared" si="124"/>
        <v>20</v>
      </c>
      <c r="G741" s="14">
        <f t="shared" si="124"/>
        <v>20</v>
      </c>
      <c r="H741" s="14">
        <f t="shared" si="119"/>
        <v>0</v>
      </c>
      <c r="I741" s="77">
        <f t="shared" si="120"/>
        <v>100</v>
      </c>
      <c r="L741" s="192"/>
      <c r="M741" s="192"/>
      <c r="N741" s="192"/>
      <c r="O741" s="192"/>
      <c r="P741" s="192"/>
      <c r="Q741" s="192"/>
    </row>
    <row r="742" spans="1:17" s="27" customFormat="1" ht="27.75" customHeight="1">
      <c r="A742" s="46" t="s">
        <v>106</v>
      </c>
      <c r="B742" s="13" t="s">
        <v>69</v>
      </c>
      <c r="C742" s="13" t="s">
        <v>69</v>
      </c>
      <c r="D742" s="45" t="s">
        <v>487</v>
      </c>
      <c r="E742" s="13" t="s">
        <v>107</v>
      </c>
      <c r="F742" s="14">
        <f t="shared" si="124"/>
        <v>20</v>
      </c>
      <c r="G742" s="14">
        <f t="shared" si="124"/>
        <v>20</v>
      </c>
      <c r="H742" s="14">
        <f t="shared" si="119"/>
        <v>0</v>
      </c>
      <c r="I742" s="77">
        <f t="shared" si="120"/>
        <v>100</v>
      </c>
      <c r="L742" s="192"/>
      <c r="M742" s="192"/>
      <c r="N742" s="192"/>
      <c r="O742" s="192"/>
      <c r="P742" s="192"/>
      <c r="Q742" s="192"/>
    </row>
    <row r="743" spans="1:17" s="27" customFormat="1" ht="12.75" customHeight="1">
      <c r="A743" s="46" t="s">
        <v>108</v>
      </c>
      <c r="B743" s="13" t="s">
        <v>69</v>
      </c>
      <c r="C743" s="13" t="s">
        <v>69</v>
      </c>
      <c r="D743" s="45" t="s">
        <v>487</v>
      </c>
      <c r="E743" s="13" t="s">
        <v>109</v>
      </c>
      <c r="F743" s="14">
        <f>'пр. 4 Вед'!G902</f>
        <v>20</v>
      </c>
      <c r="G743" s="14">
        <f>'пр. 4 Вед'!H902</f>
        <v>20</v>
      </c>
      <c r="H743" s="14">
        <f t="shared" si="119"/>
        <v>0</v>
      </c>
      <c r="I743" s="77">
        <f t="shared" si="120"/>
        <v>100</v>
      </c>
      <c r="L743" s="192"/>
      <c r="M743" s="192"/>
      <c r="N743" s="192"/>
      <c r="O743" s="192"/>
      <c r="P743" s="192"/>
      <c r="Q743" s="192"/>
    </row>
    <row r="744" spans="1:17" s="27" customFormat="1" ht="27" customHeight="1">
      <c r="A744" s="9" t="s">
        <v>745</v>
      </c>
      <c r="B744" s="13" t="s">
        <v>69</v>
      </c>
      <c r="C744" s="13" t="s">
        <v>69</v>
      </c>
      <c r="D744" s="45" t="s">
        <v>760</v>
      </c>
      <c r="E744" s="13"/>
      <c r="F744" s="14">
        <f aca="true" t="shared" si="125" ref="F744:G746">F745</f>
        <v>661.4</v>
      </c>
      <c r="G744" s="14">
        <f t="shared" si="125"/>
        <v>0</v>
      </c>
      <c r="H744" s="14">
        <f t="shared" si="119"/>
        <v>661.4</v>
      </c>
      <c r="I744" s="77">
        <f t="shared" si="120"/>
        <v>0</v>
      </c>
      <c r="L744" s="192"/>
      <c r="M744" s="192"/>
      <c r="N744" s="192"/>
      <c r="O744" s="192"/>
      <c r="P744" s="192"/>
      <c r="Q744" s="192"/>
    </row>
    <row r="745" spans="1:17" s="27" customFormat="1" ht="17.25" customHeight="1">
      <c r="A745" s="46" t="s">
        <v>770</v>
      </c>
      <c r="B745" s="13" t="s">
        <v>69</v>
      </c>
      <c r="C745" s="13" t="s">
        <v>69</v>
      </c>
      <c r="D745" s="45" t="s">
        <v>760</v>
      </c>
      <c r="E745" s="13" t="s">
        <v>113</v>
      </c>
      <c r="F745" s="14">
        <f t="shared" si="125"/>
        <v>661.4</v>
      </c>
      <c r="G745" s="14">
        <f t="shared" si="125"/>
        <v>0</v>
      </c>
      <c r="H745" s="14">
        <f t="shared" si="119"/>
        <v>661.4</v>
      </c>
      <c r="I745" s="77">
        <f t="shared" si="120"/>
        <v>0</v>
      </c>
      <c r="L745" s="192"/>
      <c r="M745" s="192"/>
      <c r="N745" s="192"/>
      <c r="O745" s="192"/>
      <c r="P745" s="192"/>
      <c r="Q745" s="192"/>
    </row>
    <row r="746" spans="1:17" s="27" customFormat="1" ht="24" customHeight="1">
      <c r="A746" s="9" t="s">
        <v>106</v>
      </c>
      <c r="B746" s="13" t="s">
        <v>69</v>
      </c>
      <c r="C746" s="13" t="s">
        <v>69</v>
      </c>
      <c r="D746" s="45" t="s">
        <v>760</v>
      </c>
      <c r="E746" s="13" t="s">
        <v>107</v>
      </c>
      <c r="F746" s="14">
        <f t="shared" si="125"/>
        <v>661.4</v>
      </c>
      <c r="G746" s="14">
        <f t="shared" si="125"/>
        <v>0</v>
      </c>
      <c r="H746" s="14">
        <f t="shared" si="119"/>
        <v>661.4</v>
      </c>
      <c r="I746" s="77">
        <f t="shared" si="120"/>
        <v>0</v>
      </c>
      <c r="L746" s="192"/>
      <c r="M746" s="192"/>
      <c r="N746" s="192"/>
      <c r="O746" s="192"/>
      <c r="P746" s="192"/>
      <c r="Q746" s="192"/>
    </row>
    <row r="747" spans="1:17" s="27" customFormat="1" ht="24" customHeight="1">
      <c r="A747" s="9" t="s">
        <v>108</v>
      </c>
      <c r="B747" s="13" t="s">
        <v>69</v>
      </c>
      <c r="C747" s="13" t="s">
        <v>69</v>
      </c>
      <c r="D747" s="45" t="s">
        <v>760</v>
      </c>
      <c r="E747" s="13" t="s">
        <v>109</v>
      </c>
      <c r="F747" s="14">
        <f>'пр. 4 Вед'!G906</f>
        <v>661.4</v>
      </c>
      <c r="G747" s="14">
        <f>'пр. 4 Вед'!H906</f>
        <v>0</v>
      </c>
      <c r="H747" s="14">
        <f t="shared" si="119"/>
        <v>661.4</v>
      </c>
      <c r="I747" s="77">
        <f t="shared" si="120"/>
        <v>0</v>
      </c>
      <c r="L747" s="192"/>
      <c r="M747" s="192"/>
      <c r="N747" s="192"/>
      <c r="O747" s="192"/>
      <c r="P747" s="192"/>
      <c r="Q747" s="192"/>
    </row>
    <row r="748" spans="1:17" s="27" customFormat="1" ht="27" customHeight="1">
      <c r="A748" s="9" t="s">
        <v>746</v>
      </c>
      <c r="B748" s="13" t="s">
        <v>69</v>
      </c>
      <c r="C748" s="13" t="s">
        <v>69</v>
      </c>
      <c r="D748" s="45" t="s">
        <v>761</v>
      </c>
      <c r="E748" s="13"/>
      <c r="F748" s="14">
        <f aca="true" t="shared" si="126" ref="F748:G750">F749</f>
        <v>10</v>
      </c>
      <c r="G748" s="14">
        <f t="shared" si="126"/>
        <v>0</v>
      </c>
      <c r="H748" s="14">
        <f t="shared" si="119"/>
        <v>10</v>
      </c>
      <c r="I748" s="77">
        <f t="shared" si="120"/>
        <v>0</v>
      </c>
      <c r="L748" s="192"/>
      <c r="M748" s="192"/>
      <c r="N748" s="192"/>
      <c r="O748" s="192"/>
      <c r="P748" s="192"/>
      <c r="Q748" s="192"/>
    </row>
    <row r="749" spans="1:17" s="27" customFormat="1" ht="19.5" customHeight="1">
      <c r="A749" s="46" t="s">
        <v>770</v>
      </c>
      <c r="B749" s="13" t="s">
        <v>69</v>
      </c>
      <c r="C749" s="13" t="s">
        <v>69</v>
      </c>
      <c r="D749" s="45" t="s">
        <v>761</v>
      </c>
      <c r="E749" s="13" t="s">
        <v>113</v>
      </c>
      <c r="F749" s="14">
        <f t="shared" si="126"/>
        <v>10</v>
      </c>
      <c r="G749" s="14">
        <f t="shared" si="126"/>
        <v>0</v>
      </c>
      <c r="H749" s="14">
        <f t="shared" si="119"/>
        <v>10</v>
      </c>
      <c r="I749" s="77">
        <f t="shared" si="120"/>
        <v>0</v>
      </c>
      <c r="L749" s="192"/>
      <c r="M749" s="192"/>
      <c r="N749" s="192"/>
      <c r="O749" s="192"/>
      <c r="P749" s="192"/>
      <c r="Q749" s="192"/>
    </row>
    <row r="750" spans="1:17" s="27" customFormat="1" ht="20.25" customHeight="1">
      <c r="A750" s="9" t="s">
        <v>106</v>
      </c>
      <c r="B750" s="13" t="s">
        <v>69</v>
      </c>
      <c r="C750" s="13" t="s">
        <v>69</v>
      </c>
      <c r="D750" s="45" t="s">
        <v>761</v>
      </c>
      <c r="E750" s="13" t="s">
        <v>107</v>
      </c>
      <c r="F750" s="14">
        <f t="shared" si="126"/>
        <v>10</v>
      </c>
      <c r="G750" s="14">
        <f t="shared" si="126"/>
        <v>0</v>
      </c>
      <c r="H750" s="14">
        <f t="shared" si="119"/>
        <v>10</v>
      </c>
      <c r="I750" s="77">
        <f t="shared" si="120"/>
        <v>0</v>
      </c>
      <c r="L750" s="192"/>
      <c r="M750" s="192"/>
      <c r="N750" s="192"/>
      <c r="O750" s="192"/>
      <c r="P750" s="192"/>
      <c r="Q750" s="192"/>
    </row>
    <row r="751" spans="1:17" s="27" customFormat="1" ht="27" customHeight="1">
      <c r="A751" s="9" t="s">
        <v>108</v>
      </c>
      <c r="B751" s="13" t="s">
        <v>69</v>
      </c>
      <c r="C751" s="13" t="s">
        <v>69</v>
      </c>
      <c r="D751" s="45" t="s">
        <v>761</v>
      </c>
      <c r="E751" s="13" t="s">
        <v>109</v>
      </c>
      <c r="F751" s="14">
        <f>'пр. 4 Вед'!G910</f>
        <v>10</v>
      </c>
      <c r="G751" s="14">
        <f>'пр. 4 Вед'!H910</f>
        <v>0</v>
      </c>
      <c r="H751" s="14">
        <f t="shared" si="119"/>
        <v>10</v>
      </c>
      <c r="I751" s="77">
        <f t="shared" si="120"/>
        <v>0</v>
      </c>
      <c r="L751" s="192"/>
      <c r="M751" s="192"/>
      <c r="N751" s="192"/>
      <c r="O751" s="192"/>
      <c r="P751" s="192"/>
      <c r="Q751" s="192"/>
    </row>
    <row r="752" spans="1:17" s="27" customFormat="1" ht="25.5">
      <c r="A752" s="46" t="s">
        <v>355</v>
      </c>
      <c r="B752" s="13" t="s">
        <v>69</v>
      </c>
      <c r="C752" s="13" t="s">
        <v>69</v>
      </c>
      <c r="D752" s="45" t="s">
        <v>222</v>
      </c>
      <c r="E752" s="13"/>
      <c r="F752" s="14">
        <f>F753+F758</f>
        <v>186.8</v>
      </c>
      <c r="G752" s="14">
        <f>G753+G758</f>
        <v>186.8</v>
      </c>
      <c r="H752" s="14">
        <f t="shared" si="119"/>
        <v>0</v>
      </c>
      <c r="I752" s="77">
        <f t="shared" si="120"/>
        <v>100</v>
      </c>
      <c r="L752" s="192"/>
      <c r="M752" s="192"/>
      <c r="N752" s="192"/>
      <c r="O752" s="192"/>
      <c r="P752" s="192"/>
      <c r="Q752" s="192"/>
    </row>
    <row r="753" spans="1:17" s="27" customFormat="1" ht="25.5">
      <c r="A753" s="46" t="s">
        <v>294</v>
      </c>
      <c r="B753" s="13" t="s">
        <v>69</v>
      </c>
      <c r="C753" s="13" t="s">
        <v>69</v>
      </c>
      <c r="D753" s="45" t="s">
        <v>473</v>
      </c>
      <c r="E753" s="13"/>
      <c r="F753" s="14">
        <f aca="true" t="shared" si="127" ref="F753:G756">F754</f>
        <v>86.8</v>
      </c>
      <c r="G753" s="14">
        <f t="shared" si="127"/>
        <v>86.8</v>
      </c>
      <c r="H753" s="14">
        <f t="shared" si="119"/>
        <v>0</v>
      </c>
      <c r="I753" s="77">
        <f t="shared" si="120"/>
        <v>100</v>
      </c>
      <c r="L753" s="192"/>
      <c r="M753" s="192"/>
      <c r="N753" s="192"/>
      <c r="O753" s="192"/>
      <c r="P753" s="192"/>
      <c r="Q753" s="192"/>
    </row>
    <row r="754" spans="1:17" s="27" customFormat="1" ht="12.75">
      <c r="A754" s="46" t="s">
        <v>386</v>
      </c>
      <c r="B754" s="13" t="s">
        <v>69</v>
      </c>
      <c r="C754" s="13" t="s">
        <v>69</v>
      </c>
      <c r="D754" s="45" t="s">
        <v>474</v>
      </c>
      <c r="E754" s="13"/>
      <c r="F754" s="14">
        <f t="shared" si="127"/>
        <v>86.8</v>
      </c>
      <c r="G754" s="14">
        <f t="shared" si="127"/>
        <v>86.8</v>
      </c>
      <c r="H754" s="14">
        <f t="shared" si="119"/>
        <v>0</v>
      </c>
      <c r="I754" s="77">
        <f t="shared" si="120"/>
        <v>100</v>
      </c>
      <c r="L754" s="192"/>
      <c r="M754" s="192"/>
      <c r="N754" s="192"/>
      <c r="O754" s="192"/>
      <c r="P754" s="192"/>
      <c r="Q754" s="192"/>
    </row>
    <row r="755" spans="1:17" s="27" customFormat="1" ht="25.5">
      <c r="A755" s="46" t="s">
        <v>114</v>
      </c>
      <c r="B755" s="13" t="s">
        <v>69</v>
      </c>
      <c r="C755" s="13" t="s">
        <v>69</v>
      </c>
      <c r="D755" s="45" t="s">
        <v>474</v>
      </c>
      <c r="E755" s="13" t="s">
        <v>115</v>
      </c>
      <c r="F755" s="14">
        <f t="shared" si="127"/>
        <v>86.8</v>
      </c>
      <c r="G755" s="14">
        <f t="shared" si="127"/>
        <v>86.8</v>
      </c>
      <c r="H755" s="14">
        <f t="shared" si="119"/>
        <v>0</v>
      </c>
      <c r="I755" s="77">
        <f t="shared" si="120"/>
        <v>100</v>
      </c>
      <c r="L755" s="192"/>
      <c r="M755" s="192"/>
      <c r="N755" s="192"/>
      <c r="O755" s="192"/>
      <c r="P755" s="192"/>
      <c r="Q755" s="192"/>
    </row>
    <row r="756" spans="1:17" s="27" customFormat="1" ht="12.75">
      <c r="A756" s="46" t="s">
        <v>120</v>
      </c>
      <c r="B756" s="13" t="s">
        <v>69</v>
      </c>
      <c r="C756" s="13" t="s">
        <v>69</v>
      </c>
      <c r="D756" s="45" t="s">
        <v>474</v>
      </c>
      <c r="E756" s="13" t="s">
        <v>121</v>
      </c>
      <c r="F756" s="14">
        <f t="shared" si="127"/>
        <v>86.8</v>
      </c>
      <c r="G756" s="14">
        <f t="shared" si="127"/>
        <v>86.8</v>
      </c>
      <c r="H756" s="14">
        <f t="shared" si="119"/>
        <v>0</v>
      </c>
      <c r="I756" s="77">
        <f t="shared" si="120"/>
        <v>100</v>
      </c>
      <c r="L756" s="192"/>
      <c r="M756" s="192"/>
      <c r="N756" s="192"/>
      <c r="O756" s="192"/>
      <c r="P756" s="192"/>
      <c r="Q756" s="192"/>
    </row>
    <row r="757" spans="1:17" s="27" customFormat="1" ht="12.75">
      <c r="A757" s="46" t="s">
        <v>124</v>
      </c>
      <c r="B757" s="13" t="s">
        <v>69</v>
      </c>
      <c r="C757" s="13" t="s">
        <v>69</v>
      </c>
      <c r="D757" s="45" t="s">
        <v>474</v>
      </c>
      <c r="E757" s="13" t="s">
        <v>125</v>
      </c>
      <c r="F757" s="14">
        <f>'пр. 4 Вед'!G733</f>
        <v>86.8</v>
      </c>
      <c r="G757" s="14">
        <f>'пр. 4 Вед'!H733</f>
        <v>86.8</v>
      </c>
      <c r="H757" s="14">
        <f t="shared" si="119"/>
        <v>0</v>
      </c>
      <c r="I757" s="77">
        <f t="shared" si="120"/>
        <v>100</v>
      </c>
      <c r="L757" s="192"/>
      <c r="M757" s="192"/>
      <c r="N757" s="192"/>
      <c r="O757" s="192"/>
      <c r="P757" s="192"/>
      <c r="Q757" s="192"/>
    </row>
    <row r="758" spans="1:17" s="27" customFormat="1" ht="25.5">
      <c r="A758" s="46" t="s">
        <v>295</v>
      </c>
      <c r="B758" s="13" t="s">
        <v>69</v>
      </c>
      <c r="C758" s="13" t="s">
        <v>69</v>
      </c>
      <c r="D758" s="45" t="s">
        <v>475</v>
      </c>
      <c r="E758" s="13"/>
      <c r="F758" s="14">
        <f aca="true" t="shared" si="128" ref="F758:G761">F759</f>
        <v>100</v>
      </c>
      <c r="G758" s="14">
        <f t="shared" si="128"/>
        <v>100</v>
      </c>
      <c r="H758" s="14">
        <f t="shared" si="119"/>
        <v>0</v>
      </c>
      <c r="I758" s="77">
        <f t="shared" si="120"/>
        <v>100</v>
      </c>
      <c r="L758" s="192"/>
      <c r="M758" s="192"/>
      <c r="N758" s="192"/>
      <c r="O758" s="192"/>
      <c r="P758" s="192"/>
      <c r="Q758" s="192"/>
    </row>
    <row r="759" spans="1:17" s="27" customFormat="1" ht="12.75">
      <c r="A759" s="46" t="s">
        <v>223</v>
      </c>
      <c r="B759" s="13" t="s">
        <v>69</v>
      </c>
      <c r="C759" s="13" t="s">
        <v>69</v>
      </c>
      <c r="D759" s="45" t="s">
        <v>476</v>
      </c>
      <c r="E759" s="13"/>
      <c r="F759" s="14">
        <f t="shared" si="128"/>
        <v>100</v>
      </c>
      <c r="G759" s="14">
        <f t="shared" si="128"/>
        <v>100</v>
      </c>
      <c r="H759" s="14">
        <f t="shared" si="119"/>
        <v>0</v>
      </c>
      <c r="I759" s="77">
        <f t="shared" si="120"/>
        <v>100</v>
      </c>
      <c r="L759" s="192"/>
      <c r="M759" s="192"/>
      <c r="N759" s="192"/>
      <c r="O759" s="192"/>
      <c r="P759" s="192"/>
      <c r="Q759" s="192"/>
    </row>
    <row r="760" spans="1:17" s="27" customFormat="1" ht="12.75">
      <c r="A760" s="46" t="s">
        <v>126</v>
      </c>
      <c r="B760" s="13" t="s">
        <v>69</v>
      </c>
      <c r="C760" s="13" t="s">
        <v>69</v>
      </c>
      <c r="D760" s="45" t="s">
        <v>476</v>
      </c>
      <c r="E760" s="13" t="s">
        <v>127</v>
      </c>
      <c r="F760" s="14">
        <f t="shared" si="128"/>
        <v>100</v>
      </c>
      <c r="G760" s="14">
        <f t="shared" si="128"/>
        <v>100</v>
      </c>
      <c r="H760" s="14">
        <f t="shared" si="119"/>
        <v>0</v>
      </c>
      <c r="I760" s="77">
        <f t="shared" si="120"/>
        <v>100</v>
      </c>
      <c r="L760" s="192"/>
      <c r="M760" s="192"/>
      <c r="N760" s="192"/>
      <c r="O760" s="192"/>
      <c r="P760" s="192"/>
      <c r="Q760" s="192"/>
    </row>
    <row r="761" spans="1:17" s="27" customFormat="1" ht="12.75">
      <c r="A761" s="46" t="s">
        <v>146</v>
      </c>
      <c r="B761" s="13" t="s">
        <v>69</v>
      </c>
      <c r="C761" s="13" t="s">
        <v>69</v>
      </c>
      <c r="D761" s="45" t="s">
        <v>476</v>
      </c>
      <c r="E761" s="13" t="s">
        <v>145</v>
      </c>
      <c r="F761" s="14">
        <f t="shared" si="128"/>
        <v>100</v>
      </c>
      <c r="G761" s="14">
        <f t="shared" si="128"/>
        <v>100</v>
      </c>
      <c r="H761" s="14">
        <f t="shared" si="119"/>
        <v>0</v>
      </c>
      <c r="I761" s="77">
        <f t="shared" si="120"/>
        <v>100</v>
      </c>
      <c r="L761" s="192"/>
      <c r="M761" s="192"/>
      <c r="N761" s="192"/>
      <c r="O761" s="192"/>
      <c r="P761" s="192"/>
      <c r="Q761" s="192"/>
    </row>
    <row r="762" spans="1:17" s="27" customFormat="1" ht="25.5">
      <c r="A762" s="46" t="s">
        <v>147</v>
      </c>
      <c r="B762" s="13" t="s">
        <v>69</v>
      </c>
      <c r="C762" s="13" t="s">
        <v>69</v>
      </c>
      <c r="D762" s="45" t="s">
        <v>476</v>
      </c>
      <c r="E762" s="13" t="s">
        <v>148</v>
      </c>
      <c r="F762" s="14">
        <f>'пр. 4 Вед'!G738</f>
        <v>100</v>
      </c>
      <c r="G762" s="14">
        <f>'пр. 4 Вед'!H738</f>
        <v>100</v>
      </c>
      <c r="H762" s="14">
        <f t="shared" si="119"/>
        <v>0</v>
      </c>
      <c r="I762" s="77">
        <f t="shared" si="120"/>
        <v>100</v>
      </c>
      <c r="L762" s="192"/>
      <c r="M762" s="192"/>
      <c r="N762" s="192"/>
      <c r="O762" s="192"/>
      <c r="P762" s="192"/>
      <c r="Q762" s="192"/>
    </row>
    <row r="763" spans="1:17" s="27" customFormat="1" ht="12.75">
      <c r="A763" s="46" t="s">
        <v>51</v>
      </c>
      <c r="B763" s="13" t="s">
        <v>69</v>
      </c>
      <c r="C763" s="13" t="s">
        <v>69</v>
      </c>
      <c r="D763" s="13" t="s">
        <v>250</v>
      </c>
      <c r="E763" s="13"/>
      <c r="F763" s="14">
        <f aca="true" t="shared" si="129" ref="F763:G766">F764</f>
        <v>135</v>
      </c>
      <c r="G763" s="14">
        <f t="shared" si="129"/>
        <v>135</v>
      </c>
      <c r="H763" s="14">
        <f t="shared" si="119"/>
        <v>0</v>
      </c>
      <c r="I763" s="77">
        <f t="shared" si="120"/>
        <v>100</v>
      </c>
      <c r="L763" s="192"/>
      <c r="M763" s="192"/>
      <c r="N763" s="192"/>
      <c r="O763" s="192"/>
      <c r="P763" s="192"/>
      <c r="Q763" s="192"/>
    </row>
    <row r="764" spans="1:17" s="27" customFormat="1" ht="12.75">
      <c r="A764" s="46" t="s">
        <v>520</v>
      </c>
      <c r="B764" s="13" t="s">
        <v>69</v>
      </c>
      <c r="C764" s="13" t="s">
        <v>69</v>
      </c>
      <c r="D764" s="13" t="s">
        <v>552</v>
      </c>
      <c r="E764" s="13"/>
      <c r="F764" s="14">
        <f t="shared" si="129"/>
        <v>135</v>
      </c>
      <c r="G764" s="14">
        <f t="shared" si="129"/>
        <v>135</v>
      </c>
      <c r="H764" s="14">
        <f t="shared" si="119"/>
        <v>0</v>
      </c>
      <c r="I764" s="77">
        <f t="shared" si="120"/>
        <v>100</v>
      </c>
      <c r="L764" s="192"/>
      <c r="M764" s="192"/>
      <c r="N764" s="192"/>
      <c r="O764" s="192"/>
      <c r="P764" s="192"/>
      <c r="Q764" s="192"/>
    </row>
    <row r="765" spans="1:17" s="27" customFormat="1" ht="12.75">
      <c r="A765" s="46" t="s">
        <v>770</v>
      </c>
      <c r="B765" s="13" t="s">
        <v>69</v>
      </c>
      <c r="C765" s="13" t="s">
        <v>69</v>
      </c>
      <c r="D765" s="13" t="s">
        <v>552</v>
      </c>
      <c r="E765" s="13" t="s">
        <v>113</v>
      </c>
      <c r="F765" s="14">
        <f t="shared" si="129"/>
        <v>135</v>
      </c>
      <c r="G765" s="14">
        <f t="shared" si="129"/>
        <v>135</v>
      </c>
      <c r="H765" s="14">
        <f t="shared" si="119"/>
        <v>0</v>
      </c>
      <c r="I765" s="77">
        <f t="shared" si="120"/>
        <v>100</v>
      </c>
      <c r="L765" s="192"/>
      <c r="M765" s="192"/>
      <c r="N765" s="192"/>
      <c r="O765" s="192"/>
      <c r="P765" s="192"/>
      <c r="Q765" s="192"/>
    </row>
    <row r="766" spans="1:17" s="27" customFormat="1" ht="21" customHeight="1">
      <c r="A766" s="46" t="s">
        <v>106</v>
      </c>
      <c r="B766" s="13" t="s">
        <v>69</v>
      </c>
      <c r="C766" s="13" t="s">
        <v>69</v>
      </c>
      <c r="D766" s="13" t="s">
        <v>552</v>
      </c>
      <c r="E766" s="13" t="s">
        <v>107</v>
      </c>
      <c r="F766" s="14">
        <f t="shared" si="129"/>
        <v>135</v>
      </c>
      <c r="G766" s="14">
        <f t="shared" si="129"/>
        <v>135</v>
      </c>
      <c r="H766" s="14">
        <f t="shared" si="119"/>
        <v>0</v>
      </c>
      <c r="I766" s="77">
        <f t="shared" si="120"/>
        <v>100</v>
      </c>
      <c r="L766" s="192"/>
      <c r="M766" s="192"/>
      <c r="N766" s="192"/>
      <c r="O766" s="192"/>
      <c r="P766" s="192"/>
      <c r="Q766" s="192"/>
    </row>
    <row r="767" spans="1:17" s="27" customFormat="1" ht="19.5" customHeight="1">
      <c r="A767" s="46" t="s">
        <v>108</v>
      </c>
      <c r="B767" s="13" t="s">
        <v>69</v>
      </c>
      <c r="C767" s="13" t="s">
        <v>69</v>
      </c>
      <c r="D767" s="13" t="s">
        <v>552</v>
      </c>
      <c r="E767" s="13" t="s">
        <v>109</v>
      </c>
      <c r="F767" s="14">
        <f>'пр. 4 Вед'!G915</f>
        <v>135</v>
      </c>
      <c r="G767" s="14">
        <f>'пр. 4 Вед'!H915</f>
        <v>135</v>
      </c>
      <c r="H767" s="14">
        <f t="shared" si="119"/>
        <v>0</v>
      </c>
      <c r="I767" s="77">
        <f t="shared" si="120"/>
        <v>100</v>
      </c>
      <c r="L767" s="192"/>
      <c r="M767" s="192"/>
      <c r="N767" s="192"/>
      <c r="O767" s="192"/>
      <c r="P767" s="192"/>
      <c r="Q767" s="192"/>
    </row>
    <row r="768" spans="1:17" s="27" customFormat="1" ht="12.75">
      <c r="A768" s="60" t="s">
        <v>11</v>
      </c>
      <c r="B768" s="29" t="s">
        <v>69</v>
      </c>
      <c r="C768" s="29" t="s">
        <v>75</v>
      </c>
      <c r="D768" s="29"/>
      <c r="E768" s="29"/>
      <c r="F768" s="30">
        <f>F781+F795+F812+F842+F769</f>
        <v>39051.100000000006</v>
      </c>
      <c r="G768" s="30">
        <f>G781+G795+G812+G842+G769</f>
        <v>37913.3</v>
      </c>
      <c r="H768" s="30">
        <f t="shared" si="119"/>
        <v>1137.800000000003</v>
      </c>
      <c r="I768" s="82">
        <f t="shared" si="120"/>
        <v>97.08638168963229</v>
      </c>
      <c r="L768" s="192"/>
      <c r="M768" s="192"/>
      <c r="N768" s="192"/>
      <c r="O768" s="192"/>
      <c r="P768" s="192"/>
      <c r="Q768" s="192"/>
    </row>
    <row r="769" spans="1:17" s="27" customFormat="1" ht="25.5">
      <c r="A769" s="46" t="s">
        <v>309</v>
      </c>
      <c r="B769" s="13" t="s">
        <v>69</v>
      </c>
      <c r="C769" s="13" t="s">
        <v>75</v>
      </c>
      <c r="D769" s="13" t="s">
        <v>310</v>
      </c>
      <c r="E769" s="13"/>
      <c r="F769" s="14">
        <f aca="true" t="shared" si="130" ref="F769:G771">F770</f>
        <v>1925.3999999999999</v>
      </c>
      <c r="G769" s="14">
        <f t="shared" si="130"/>
        <v>1668.7</v>
      </c>
      <c r="H769" s="14">
        <f t="shared" si="119"/>
        <v>256.6999999999998</v>
      </c>
      <c r="I769" s="77">
        <f t="shared" si="120"/>
        <v>86.66770541186249</v>
      </c>
      <c r="L769" s="192"/>
      <c r="M769" s="192"/>
      <c r="N769" s="192"/>
      <c r="O769" s="192"/>
      <c r="P769" s="192"/>
      <c r="Q769" s="192"/>
    </row>
    <row r="770" spans="1:17" s="27" customFormat="1" ht="25.5">
      <c r="A770" s="46" t="s">
        <v>163</v>
      </c>
      <c r="B770" s="13" t="s">
        <v>69</v>
      </c>
      <c r="C770" s="13" t="s">
        <v>75</v>
      </c>
      <c r="D770" s="13" t="s">
        <v>311</v>
      </c>
      <c r="E770" s="13"/>
      <c r="F770" s="14">
        <f t="shared" si="130"/>
        <v>1925.3999999999999</v>
      </c>
      <c r="G770" s="14">
        <f t="shared" si="130"/>
        <v>1668.7</v>
      </c>
      <c r="H770" s="14">
        <f t="shared" si="119"/>
        <v>256.6999999999998</v>
      </c>
      <c r="I770" s="77">
        <f t="shared" si="120"/>
        <v>86.66770541186249</v>
      </c>
      <c r="L770" s="192"/>
      <c r="M770" s="192"/>
      <c r="N770" s="192"/>
      <c r="O770" s="192"/>
      <c r="P770" s="192"/>
      <c r="Q770" s="192"/>
    </row>
    <row r="771" spans="1:17" s="27" customFormat="1" ht="12.75">
      <c r="A771" s="46" t="s">
        <v>312</v>
      </c>
      <c r="B771" s="13" t="s">
        <v>69</v>
      </c>
      <c r="C771" s="13" t="s">
        <v>75</v>
      </c>
      <c r="D771" s="13" t="s">
        <v>313</v>
      </c>
      <c r="E771" s="13"/>
      <c r="F771" s="14">
        <f t="shared" si="130"/>
        <v>1925.3999999999999</v>
      </c>
      <c r="G771" s="14">
        <f t="shared" si="130"/>
        <v>1668.7</v>
      </c>
      <c r="H771" s="14">
        <f t="shared" si="119"/>
        <v>256.6999999999998</v>
      </c>
      <c r="I771" s="77">
        <f t="shared" si="120"/>
        <v>86.66770541186249</v>
      </c>
      <c r="L771" s="192"/>
      <c r="M771" s="192"/>
      <c r="N771" s="192"/>
      <c r="O771" s="192"/>
      <c r="P771" s="192"/>
      <c r="Q771" s="192"/>
    </row>
    <row r="772" spans="1:17" s="27" customFormat="1" ht="38.25">
      <c r="A772" s="46" t="s">
        <v>393</v>
      </c>
      <c r="B772" s="13" t="s">
        <v>69</v>
      </c>
      <c r="C772" s="13" t="s">
        <v>75</v>
      </c>
      <c r="D772" s="13" t="s">
        <v>314</v>
      </c>
      <c r="E772" s="13"/>
      <c r="F772" s="14">
        <f>F773+F778</f>
        <v>1925.3999999999999</v>
      </c>
      <c r="G772" s="14">
        <f>G773+G778</f>
        <v>1668.7</v>
      </c>
      <c r="H772" s="14">
        <f t="shared" si="119"/>
        <v>256.6999999999998</v>
      </c>
      <c r="I772" s="77">
        <f t="shared" si="120"/>
        <v>86.66770541186249</v>
      </c>
      <c r="L772" s="192"/>
      <c r="M772" s="192"/>
      <c r="N772" s="192"/>
      <c r="O772" s="192"/>
      <c r="P772" s="192"/>
      <c r="Q772" s="192"/>
    </row>
    <row r="773" spans="1:17" s="27" customFormat="1" ht="38.25">
      <c r="A773" s="46" t="s">
        <v>110</v>
      </c>
      <c r="B773" s="13" t="s">
        <v>69</v>
      </c>
      <c r="C773" s="13" t="s">
        <v>75</v>
      </c>
      <c r="D773" s="13" t="s">
        <v>314</v>
      </c>
      <c r="E773" s="13" t="s">
        <v>111</v>
      </c>
      <c r="F773" s="14">
        <f>F774</f>
        <v>1846.8999999999999</v>
      </c>
      <c r="G773" s="14">
        <f>G774</f>
        <v>1619.6000000000001</v>
      </c>
      <c r="H773" s="14">
        <f t="shared" si="119"/>
        <v>227.29999999999973</v>
      </c>
      <c r="I773" s="77">
        <f t="shared" si="120"/>
        <v>87.6928907899724</v>
      </c>
      <c r="L773" s="192"/>
      <c r="M773" s="192"/>
      <c r="N773" s="192"/>
      <c r="O773" s="192"/>
      <c r="P773" s="192"/>
      <c r="Q773" s="192"/>
    </row>
    <row r="774" spans="1:17" s="27" customFormat="1" ht="12.75">
      <c r="A774" s="46" t="s">
        <v>101</v>
      </c>
      <c r="B774" s="13" t="s">
        <v>69</v>
      </c>
      <c r="C774" s="13" t="s">
        <v>75</v>
      </c>
      <c r="D774" s="13" t="s">
        <v>314</v>
      </c>
      <c r="E774" s="13" t="s">
        <v>102</v>
      </c>
      <c r="F774" s="14">
        <f>F775+F776+F777</f>
        <v>1846.8999999999999</v>
      </c>
      <c r="G774" s="14">
        <f>G775+G776+G777</f>
        <v>1619.6000000000001</v>
      </c>
      <c r="H774" s="14">
        <f t="shared" si="119"/>
        <v>227.29999999999973</v>
      </c>
      <c r="I774" s="77">
        <f t="shared" si="120"/>
        <v>87.6928907899724</v>
      </c>
      <c r="L774" s="192"/>
      <c r="M774" s="192"/>
      <c r="N774" s="192"/>
      <c r="O774" s="192"/>
      <c r="P774" s="192"/>
      <c r="Q774" s="192"/>
    </row>
    <row r="775" spans="1:17" s="27" customFormat="1" ht="12.75">
      <c r="A775" s="46" t="s">
        <v>176</v>
      </c>
      <c r="B775" s="13" t="s">
        <v>69</v>
      </c>
      <c r="C775" s="13" t="s">
        <v>75</v>
      </c>
      <c r="D775" s="13" t="s">
        <v>314</v>
      </c>
      <c r="E775" s="13" t="s">
        <v>103</v>
      </c>
      <c r="F775" s="14">
        <f>'пр. 4 Вед'!G264</f>
        <v>1410.1</v>
      </c>
      <c r="G775" s="14">
        <f>'пр. 4 Вед'!H264</f>
        <v>1260.4</v>
      </c>
      <c r="H775" s="14">
        <f t="shared" si="119"/>
        <v>149.69999999999982</v>
      </c>
      <c r="I775" s="77">
        <f t="shared" si="120"/>
        <v>89.38373165023759</v>
      </c>
      <c r="L775" s="192"/>
      <c r="M775" s="192"/>
      <c r="N775" s="192"/>
      <c r="O775" s="192"/>
      <c r="P775" s="192"/>
      <c r="Q775" s="192"/>
    </row>
    <row r="776" spans="1:17" s="27" customFormat="1" ht="25.5">
      <c r="A776" s="46" t="s">
        <v>104</v>
      </c>
      <c r="B776" s="13" t="s">
        <v>69</v>
      </c>
      <c r="C776" s="13" t="s">
        <v>75</v>
      </c>
      <c r="D776" s="13" t="s">
        <v>314</v>
      </c>
      <c r="E776" s="13" t="s">
        <v>105</v>
      </c>
      <c r="F776" s="14">
        <f>'пр. 4 Вед'!G265</f>
        <v>12.8</v>
      </c>
      <c r="G776" s="14">
        <f>'пр. 4 Вед'!H265</f>
        <v>12.7</v>
      </c>
      <c r="H776" s="14">
        <f t="shared" si="119"/>
        <v>0.10000000000000142</v>
      </c>
      <c r="I776" s="77">
        <f t="shared" si="120"/>
        <v>99.21874999999999</v>
      </c>
      <c r="L776" s="192"/>
      <c r="M776" s="192"/>
      <c r="N776" s="192"/>
      <c r="O776" s="192"/>
      <c r="P776" s="192"/>
      <c r="Q776" s="192"/>
    </row>
    <row r="777" spans="1:17" s="27" customFormat="1" ht="25.5">
      <c r="A777" s="46" t="s">
        <v>178</v>
      </c>
      <c r="B777" s="13" t="s">
        <v>69</v>
      </c>
      <c r="C777" s="13" t="s">
        <v>75</v>
      </c>
      <c r="D777" s="13" t="s">
        <v>314</v>
      </c>
      <c r="E777" s="13" t="s">
        <v>177</v>
      </c>
      <c r="F777" s="14">
        <f>'пр. 4 Вед'!G266</f>
        <v>424</v>
      </c>
      <c r="G777" s="14">
        <f>'пр. 4 Вед'!H266</f>
        <v>346.5</v>
      </c>
      <c r="H777" s="14">
        <f aca="true" t="shared" si="131" ref="H777:H840">F777-G777</f>
        <v>77.5</v>
      </c>
      <c r="I777" s="77">
        <f aca="true" t="shared" si="132" ref="I777:I840">G777/F777*100</f>
        <v>81.72169811320755</v>
      </c>
      <c r="L777" s="192"/>
      <c r="M777" s="192"/>
      <c r="N777" s="192"/>
      <c r="O777" s="192"/>
      <c r="P777" s="192"/>
      <c r="Q777" s="192"/>
    </row>
    <row r="778" spans="1:17" s="27" customFormat="1" ht="12.75">
      <c r="A778" s="46" t="s">
        <v>770</v>
      </c>
      <c r="B778" s="13" t="s">
        <v>69</v>
      </c>
      <c r="C778" s="13" t="s">
        <v>75</v>
      </c>
      <c r="D778" s="13" t="s">
        <v>314</v>
      </c>
      <c r="E778" s="13" t="s">
        <v>113</v>
      </c>
      <c r="F778" s="14">
        <f>F779</f>
        <v>78.5</v>
      </c>
      <c r="G778" s="14">
        <f>G779</f>
        <v>49.1</v>
      </c>
      <c r="H778" s="14">
        <f t="shared" si="131"/>
        <v>29.4</v>
      </c>
      <c r="I778" s="77">
        <f t="shared" si="132"/>
        <v>62.54777070063694</v>
      </c>
      <c r="L778" s="192"/>
      <c r="M778" s="192"/>
      <c r="N778" s="192"/>
      <c r="O778" s="192"/>
      <c r="P778" s="192"/>
      <c r="Q778" s="192"/>
    </row>
    <row r="779" spans="1:17" s="27" customFormat="1" ht="15.75" customHeight="1">
      <c r="A779" s="46" t="s">
        <v>106</v>
      </c>
      <c r="B779" s="13" t="s">
        <v>69</v>
      </c>
      <c r="C779" s="13" t="s">
        <v>75</v>
      </c>
      <c r="D779" s="13" t="s">
        <v>314</v>
      </c>
      <c r="E779" s="13" t="s">
        <v>107</v>
      </c>
      <c r="F779" s="14">
        <f>F780</f>
        <v>78.5</v>
      </c>
      <c r="G779" s="14">
        <f>G780</f>
        <v>49.1</v>
      </c>
      <c r="H779" s="14">
        <f t="shared" si="131"/>
        <v>29.4</v>
      </c>
      <c r="I779" s="77">
        <f t="shared" si="132"/>
        <v>62.54777070063694</v>
      </c>
      <c r="L779" s="192"/>
      <c r="M779" s="192"/>
      <c r="N779" s="192"/>
      <c r="O779" s="192"/>
      <c r="P779" s="192"/>
      <c r="Q779" s="192"/>
    </row>
    <row r="780" spans="1:17" s="27" customFormat="1" ht="17.25" customHeight="1">
      <c r="A780" s="46" t="s">
        <v>108</v>
      </c>
      <c r="B780" s="13" t="s">
        <v>69</v>
      </c>
      <c r="C780" s="13" t="s">
        <v>75</v>
      </c>
      <c r="D780" s="13" t="s">
        <v>314</v>
      </c>
      <c r="E780" s="13" t="s">
        <v>109</v>
      </c>
      <c r="F780" s="14">
        <f>'пр. 4 Вед'!G269</f>
        <v>78.5</v>
      </c>
      <c r="G780" s="14">
        <f>'пр. 4 Вед'!H269</f>
        <v>49.1</v>
      </c>
      <c r="H780" s="14">
        <f t="shared" si="131"/>
        <v>29.4</v>
      </c>
      <c r="I780" s="77">
        <f t="shared" si="132"/>
        <v>62.54777070063694</v>
      </c>
      <c r="L780" s="192"/>
      <c r="M780" s="192"/>
      <c r="N780" s="192"/>
      <c r="O780" s="192"/>
      <c r="P780" s="192"/>
      <c r="Q780" s="192"/>
    </row>
    <row r="781" spans="1:17" s="27" customFormat="1" ht="12.75">
      <c r="A781" s="46" t="s">
        <v>503</v>
      </c>
      <c r="B781" s="13" t="s">
        <v>69</v>
      </c>
      <c r="C781" s="13" t="s">
        <v>75</v>
      </c>
      <c r="D781" s="13" t="s">
        <v>252</v>
      </c>
      <c r="E781" s="13"/>
      <c r="F781" s="14">
        <f>F782</f>
        <v>1034.4</v>
      </c>
      <c r="G781" s="14">
        <f>G782</f>
        <v>842.5</v>
      </c>
      <c r="H781" s="14">
        <f t="shared" si="131"/>
        <v>191.9000000000001</v>
      </c>
      <c r="I781" s="77">
        <f t="shared" si="132"/>
        <v>81.44818252126836</v>
      </c>
      <c r="L781" s="192"/>
      <c r="M781" s="192"/>
      <c r="N781" s="192"/>
      <c r="O781" s="192"/>
      <c r="P781" s="192"/>
      <c r="Q781" s="192"/>
    </row>
    <row r="782" spans="1:17" s="27" customFormat="1" ht="12.75">
      <c r="A782" s="46" t="s">
        <v>504</v>
      </c>
      <c r="B782" s="13" t="s">
        <v>69</v>
      </c>
      <c r="C782" s="13" t="s">
        <v>75</v>
      </c>
      <c r="D782" s="13" t="s">
        <v>501</v>
      </c>
      <c r="E782" s="13"/>
      <c r="F782" s="14">
        <f>F783+F789</f>
        <v>1034.4</v>
      </c>
      <c r="G782" s="14">
        <f>G783+G789</f>
        <v>842.5</v>
      </c>
      <c r="H782" s="14">
        <f t="shared" si="131"/>
        <v>191.9000000000001</v>
      </c>
      <c r="I782" s="77">
        <f t="shared" si="132"/>
        <v>81.44818252126836</v>
      </c>
      <c r="L782" s="192"/>
      <c r="M782" s="192"/>
      <c r="N782" s="192"/>
      <c r="O782" s="192"/>
      <c r="P782" s="192"/>
      <c r="Q782" s="192"/>
    </row>
    <row r="783" spans="1:17" s="27" customFormat="1" ht="38.25">
      <c r="A783" s="46" t="s">
        <v>271</v>
      </c>
      <c r="B783" s="13" t="s">
        <v>69</v>
      </c>
      <c r="C783" s="13" t="s">
        <v>75</v>
      </c>
      <c r="D783" s="13" t="s">
        <v>502</v>
      </c>
      <c r="E783" s="13"/>
      <c r="F783" s="14">
        <f>F784</f>
        <v>982.5</v>
      </c>
      <c r="G783" s="14">
        <f>G784</f>
        <v>814.8</v>
      </c>
      <c r="H783" s="14">
        <f t="shared" si="131"/>
        <v>167.70000000000005</v>
      </c>
      <c r="I783" s="77">
        <f t="shared" si="132"/>
        <v>82.93129770992365</v>
      </c>
      <c r="L783" s="192"/>
      <c r="M783" s="192"/>
      <c r="N783" s="192"/>
      <c r="O783" s="192"/>
      <c r="P783" s="192"/>
      <c r="Q783" s="192"/>
    </row>
    <row r="784" spans="1:17" s="27" customFormat="1" ht="38.25">
      <c r="A784" s="46" t="s">
        <v>110</v>
      </c>
      <c r="B784" s="13" t="s">
        <v>69</v>
      </c>
      <c r="C784" s="13" t="s">
        <v>75</v>
      </c>
      <c r="D784" s="13" t="s">
        <v>502</v>
      </c>
      <c r="E784" s="13" t="s">
        <v>111</v>
      </c>
      <c r="F784" s="14">
        <f>F785+F787</f>
        <v>982.5</v>
      </c>
      <c r="G784" s="14">
        <f>G785+G787</f>
        <v>814.8</v>
      </c>
      <c r="H784" s="14">
        <f t="shared" si="131"/>
        <v>167.70000000000005</v>
      </c>
      <c r="I784" s="77">
        <f t="shared" si="132"/>
        <v>82.93129770992365</v>
      </c>
      <c r="L784" s="192"/>
      <c r="M784" s="192"/>
      <c r="N784" s="192"/>
      <c r="O784" s="192"/>
      <c r="P784" s="192"/>
      <c r="Q784" s="192"/>
    </row>
    <row r="785" spans="1:17" s="27" customFormat="1" ht="12.75">
      <c r="A785" s="69" t="s">
        <v>406</v>
      </c>
      <c r="B785" s="13" t="s">
        <v>69</v>
      </c>
      <c r="C785" s="13" t="s">
        <v>75</v>
      </c>
      <c r="D785" s="13" t="s">
        <v>502</v>
      </c>
      <c r="E785" s="13" t="s">
        <v>408</v>
      </c>
      <c r="F785" s="14">
        <f>F786</f>
        <v>750</v>
      </c>
      <c r="G785" s="14">
        <f>G786</f>
        <v>698.5</v>
      </c>
      <c r="H785" s="14">
        <f t="shared" si="131"/>
        <v>51.5</v>
      </c>
      <c r="I785" s="77">
        <f t="shared" si="132"/>
        <v>93.13333333333334</v>
      </c>
      <c r="L785" s="192"/>
      <c r="M785" s="192"/>
      <c r="N785" s="192"/>
      <c r="O785" s="192"/>
      <c r="P785" s="192"/>
      <c r="Q785" s="192"/>
    </row>
    <row r="786" spans="1:17" s="27" customFormat="1" ht="12.75">
      <c r="A786" s="46" t="s">
        <v>574</v>
      </c>
      <c r="B786" s="13" t="s">
        <v>69</v>
      </c>
      <c r="C786" s="13" t="s">
        <v>75</v>
      </c>
      <c r="D786" s="13" t="s">
        <v>502</v>
      </c>
      <c r="E786" s="13" t="s">
        <v>407</v>
      </c>
      <c r="F786" s="14">
        <f>'пр. 4 Вед'!G745</f>
        <v>750</v>
      </c>
      <c r="G786" s="14">
        <f>'пр. 4 Вед'!H745</f>
        <v>698.5</v>
      </c>
      <c r="H786" s="14">
        <f t="shared" si="131"/>
        <v>51.5</v>
      </c>
      <c r="I786" s="77">
        <f t="shared" si="132"/>
        <v>93.13333333333334</v>
      </c>
      <c r="L786" s="192"/>
      <c r="M786" s="192"/>
      <c r="N786" s="192"/>
      <c r="O786" s="192"/>
      <c r="P786" s="192"/>
      <c r="Q786" s="192"/>
    </row>
    <row r="787" spans="1:17" s="27" customFormat="1" ht="12.75">
      <c r="A787" s="46" t="s">
        <v>101</v>
      </c>
      <c r="B787" s="13" t="s">
        <v>69</v>
      </c>
      <c r="C787" s="13" t="s">
        <v>75</v>
      </c>
      <c r="D787" s="13" t="s">
        <v>502</v>
      </c>
      <c r="E787" s="13" t="s">
        <v>102</v>
      </c>
      <c r="F787" s="14">
        <f>F788</f>
        <v>232.5</v>
      </c>
      <c r="G787" s="14">
        <f>G788</f>
        <v>116.3</v>
      </c>
      <c r="H787" s="14">
        <f t="shared" si="131"/>
        <v>116.2</v>
      </c>
      <c r="I787" s="77">
        <f t="shared" si="132"/>
        <v>50.02150537634409</v>
      </c>
      <c r="L787" s="192"/>
      <c r="M787" s="192"/>
      <c r="N787" s="192"/>
      <c r="O787" s="192"/>
      <c r="P787" s="192"/>
      <c r="Q787" s="192"/>
    </row>
    <row r="788" spans="1:17" s="27" customFormat="1" ht="25.5">
      <c r="A788" s="46" t="s">
        <v>104</v>
      </c>
      <c r="B788" s="13" t="s">
        <v>69</v>
      </c>
      <c r="C788" s="13" t="s">
        <v>75</v>
      </c>
      <c r="D788" s="13" t="s">
        <v>502</v>
      </c>
      <c r="E788" s="13" t="s">
        <v>105</v>
      </c>
      <c r="F788" s="14">
        <f>'пр. 4 Вед'!G747</f>
        <v>232.5</v>
      </c>
      <c r="G788" s="14">
        <f>'пр. 4 Вед'!H747</f>
        <v>116.3</v>
      </c>
      <c r="H788" s="14">
        <f t="shared" si="131"/>
        <v>116.2</v>
      </c>
      <c r="I788" s="77">
        <f t="shared" si="132"/>
        <v>50.02150537634409</v>
      </c>
      <c r="L788" s="192"/>
      <c r="M788" s="192"/>
      <c r="N788" s="192"/>
      <c r="O788" s="192"/>
      <c r="P788" s="192"/>
      <c r="Q788" s="192"/>
    </row>
    <row r="789" spans="1:17" s="27" customFormat="1" ht="12.75">
      <c r="A789" s="46" t="s">
        <v>272</v>
      </c>
      <c r="B789" s="13" t="s">
        <v>69</v>
      </c>
      <c r="C789" s="13" t="s">
        <v>75</v>
      </c>
      <c r="D789" s="13" t="s">
        <v>505</v>
      </c>
      <c r="E789" s="13"/>
      <c r="F789" s="14">
        <f>F790</f>
        <v>51.9</v>
      </c>
      <c r="G789" s="14">
        <f>G790</f>
        <v>27.7</v>
      </c>
      <c r="H789" s="14">
        <f t="shared" si="131"/>
        <v>24.2</v>
      </c>
      <c r="I789" s="77">
        <f t="shared" si="132"/>
        <v>53.371868978805395</v>
      </c>
      <c r="L789" s="192"/>
      <c r="M789" s="192"/>
      <c r="N789" s="192"/>
      <c r="O789" s="192"/>
      <c r="P789" s="192"/>
      <c r="Q789" s="192"/>
    </row>
    <row r="790" spans="1:17" s="27" customFormat="1" ht="38.25">
      <c r="A790" s="46" t="s">
        <v>110</v>
      </c>
      <c r="B790" s="13" t="s">
        <v>69</v>
      </c>
      <c r="C790" s="13" t="s">
        <v>75</v>
      </c>
      <c r="D790" s="13" t="s">
        <v>505</v>
      </c>
      <c r="E790" s="13" t="s">
        <v>111</v>
      </c>
      <c r="F790" s="14">
        <f>F791+F793</f>
        <v>51.9</v>
      </c>
      <c r="G790" s="14">
        <f>G791+G793</f>
        <v>27.7</v>
      </c>
      <c r="H790" s="14">
        <f t="shared" si="131"/>
        <v>24.2</v>
      </c>
      <c r="I790" s="77">
        <f t="shared" si="132"/>
        <v>53.371868978805395</v>
      </c>
      <c r="L790" s="192"/>
      <c r="M790" s="192"/>
      <c r="N790" s="192"/>
      <c r="O790" s="192"/>
      <c r="P790" s="192"/>
      <c r="Q790" s="192"/>
    </row>
    <row r="791" spans="1:17" s="27" customFormat="1" ht="12.75">
      <c r="A791" s="69" t="s">
        <v>406</v>
      </c>
      <c r="B791" s="13" t="s">
        <v>69</v>
      </c>
      <c r="C791" s="13" t="s">
        <v>75</v>
      </c>
      <c r="D791" s="13" t="s">
        <v>505</v>
      </c>
      <c r="E791" s="13" t="s">
        <v>408</v>
      </c>
      <c r="F791" s="14">
        <f>F792</f>
        <v>30.4</v>
      </c>
      <c r="G791" s="14">
        <f>G792</f>
        <v>23.2</v>
      </c>
      <c r="H791" s="14">
        <f t="shared" si="131"/>
        <v>7.199999999999999</v>
      </c>
      <c r="I791" s="77">
        <f t="shared" si="132"/>
        <v>76.31578947368422</v>
      </c>
      <c r="L791" s="192"/>
      <c r="M791" s="192"/>
      <c r="N791" s="192"/>
      <c r="O791" s="192"/>
      <c r="P791" s="192"/>
      <c r="Q791" s="192"/>
    </row>
    <row r="792" spans="1:17" s="27" customFormat="1" ht="12.75">
      <c r="A792" s="46" t="s">
        <v>574</v>
      </c>
      <c r="B792" s="13" t="s">
        <v>69</v>
      </c>
      <c r="C792" s="13" t="s">
        <v>75</v>
      </c>
      <c r="D792" s="13" t="s">
        <v>505</v>
      </c>
      <c r="E792" s="13" t="s">
        <v>407</v>
      </c>
      <c r="F792" s="14">
        <f>'пр. 4 Вед'!G751</f>
        <v>30.4</v>
      </c>
      <c r="G792" s="14">
        <f>'пр. 4 Вед'!H751</f>
        <v>23.2</v>
      </c>
      <c r="H792" s="14">
        <f t="shared" si="131"/>
        <v>7.199999999999999</v>
      </c>
      <c r="I792" s="77">
        <f t="shared" si="132"/>
        <v>76.31578947368422</v>
      </c>
      <c r="L792" s="192"/>
      <c r="M792" s="192"/>
      <c r="N792" s="192"/>
      <c r="O792" s="192"/>
      <c r="P792" s="192"/>
      <c r="Q792" s="192"/>
    </row>
    <row r="793" spans="1:17" s="27" customFormat="1" ht="12.75">
      <c r="A793" s="46" t="s">
        <v>101</v>
      </c>
      <c r="B793" s="13" t="s">
        <v>69</v>
      </c>
      <c r="C793" s="13" t="s">
        <v>75</v>
      </c>
      <c r="D793" s="13" t="s">
        <v>505</v>
      </c>
      <c r="E793" s="13" t="s">
        <v>102</v>
      </c>
      <c r="F793" s="14">
        <f>F794</f>
        <v>21.5</v>
      </c>
      <c r="G793" s="14">
        <f>G794</f>
        <v>4.5</v>
      </c>
      <c r="H793" s="14">
        <f t="shared" si="131"/>
        <v>17</v>
      </c>
      <c r="I793" s="77">
        <f t="shared" si="132"/>
        <v>20.930232558139537</v>
      </c>
      <c r="L793" s="192"/>
      <c r="M793" s="192"/>
      <c r="N793" s="192"/>
      <c r="O793" s="192"/>
      <c r="P793" s="192"/>
      <c r="Q793" s="192"/>
    </row>
    <row r="794" spans="1:17" s="27" customFormat="1" ht="25.5">
      <c r="A794" s="46" t="s">
        <v>104</v>
      </c>
      <c r="B794" s="13" t="s">
        <v>69</v>
      </c>
      <c r="C794" s="13" t="s">
        <v>75</v>
      </c>
      <c r="D794" s="13" t="s">
        <v>505</v>
      </c>
      <c r="E794" s="13" t="s">
        <v>105</v>
      </c>
      <c r="F794" s="14">
        <f>'пр. 4 Вед'!G753</f>
        <v>21.5</v>
      </c>
      <c r="G794" s="14">
        <f>'пр. 4 Вед'!H753</f>
        <v>4.5</v>
      </c>
      <c r="H794" s="14">
        <f t="shared" si="131"/>
        <v>17</v>
      </c>
      <c r="I794" s="77">
        <f t="shared" si="132"/>
        <v>20.930232558139537</v>
      </c>
      <c r="L794" s="192"/>
      <c r="M794" s="192"/>
      <c r="N794" s="192"/>
      <c r="O794" s="192"/>
      <c r="P794" s="192"/>
      <c r="Q794" s="192"/>
    </row>
    <row r="795" spans="1:17" s="27" customFormat="1" ht="18" customHeight="1">
      <c r="A795" s="46" t="s">
        <v>557</v>
      </c>
      <c r="B795" s="13" t="s">
        <v>69</v>
      </c>
      <c r="C795" s="13" t="s">
        <v>75</v>
      </c>
      <c r="D795" s="13" t="s">
        <v>251</v>
      </c>
      <c r="E795" s="13"/>
      <c r="F795" s="14">
        <f>F796</f>
        <v>8840</v>
      </c>
      <c r="G795" s="14">
        <f>G796</f>
        <v>8526.300000000001</v>
      </c>
      <c r="H795" s="14">
        <f t="shared" si="131"/>
        <v>313.6999999999989</v>
      </c>
      <c r="I795" s="77">
        <f t="shared" si="132"/>
        <v>96.45135746606336</v>
      </c>
      <c r="L795" s="192"/>
      <c r="M795" s="192"/>
      <c r="N795" s="192"/>
      <c r="O795" s="192"/>
      <c r="P795" s="192"/>
      <c r="Q795" s="192"/>
    </row>
    <row r="796" spans="1:17" s="27" customFormat="1" ht="12.75">
      <c r="A796" s="46" t="s">
        <v>50</v>
      </c>
      <c r="B796" s="13" t="s">
        <v>69</v>
      </c>
      <c r="C796" s="13" t="s">
        <v>75</v>
      </c>
      <c r="D796" s="13" t="s">
        <v>277</v>
      </c>
      <c r="E796" s="13"/>
      <c r="F796" s="14">
        <f>F797+F803</f>
        <v>8840</v>
      </c>
      <c r="G796" s="14">
        <f>G797+G803</f>
        <v>8526.300000000001</v>
      </c>
      <c r="H796" s="14">
        <f t="shared" si="131"/>
        <v>313.6999999999989</v>
      </c>
      <c r="I796" s="77">
        <f t="shared" si="132"/>
        <v>96.45135746606336</v>
      </c>
      <c r="L796" s="192"/>
      <c r="M796" s="192"/>
      <c r="N796" s="192"/>
      <c r="O796" s="192"/>
      <c r="P796" s="192"/>
      <c r="Q796" s="192"/>
    </row>
    <row r="797" spans="1:17" s="27" customFormat="1" ht="12.75">
      <c r="A797" s="46" t="s">
        <v>273</v>
      </c>
      <c r="B797" s="13" t="s">
        <v>69</v>
      </c>
      <c r="C797" s="13" t="s">
        <v>75</v>
      </c>
      <c r="D797" s="13" t="s">
        <v>278</v>
      </c>
      <c r="E797" s="13"/>
      <c r="F797" s="14">
        <f>F798</f>
        <v>8221.5</v>
      </c>
      <c r="G797" s="14">
        <f>G798</f>
        <v>8041.900000000001</v>
      </c>
      <c r="H797" s="14">
        <f t="shared" si="131"/>
        <v>179.59999999999945</v>
      </c>
      <c r="I797" s="77">
        <f t="shared" si="132"/>
        <v>97.8154837924953</v>
      </c>
      <c r="L797" s="192"/>
      <c r="M797" s="192"/>
      <c r="N797" s="192"/>
      <c r="O797" s="192"/>
      <c r="P797" s="192"/>
      <c r="Q797" s="192"/>
    </row>
    <row r="798" spans="1:17" s="27" customFormat="1" ht="38.25">
      <c r="A798" s="46" t="s">
        <v>110</v>
      </c>
      <c r="B798" s="13" t="s">
        <v>69</v>
      </c>
      <c r="C798" s="13" t="s">
        <v>75</v>
      </c>
      <c r="D798" s="13" t="s">
        <v>278</v>
      </c>
      <c r="E798" s="13" t="s">
        <v>111</v>
      </c>
      <c r="F798" s="14">
        <f>F799</f>
        <v>8221.5</v>
      </c>
      <c r="G798" s="14">
        <f>G799</f>
        <v>8041.900000000001</v>
      </c>
      <c r="H798" s="14">
        <f t="shared" si="131"/>
        <v>179.59999999999945</v>
      </c>
      <c r="I798" s="77">
        <f t="shared" si="132"/>
        <v>97.8154837924953</v>
      </c>
      <c r="L798" s="192"/>
      <c r="M798" s="192"/>
      <c r="N798" s="192"/>
      <c r="O798" s="192"/>
      <c r="P798" s="192"/>
      <c r="Q798" s="192"/>
    </row>
    <row r="799" spans="1:17" s="27" customFormat="1" ht="12.75">
      <c r="A799" s="46" t="s">
        <v>101</v>
      </c>
      <c r="B799" s="13" t="s">
        <v>69</v>
      </c>
      <c r="C799" s="13" t="s">
        <v>75</v>
      </c>
      <c r="D799" s="13" t="s">
        <v>278</v>
      </c>
      <c r="E799" s="13" t="s">
        <v>102</v>
      </c>
      <c r="F799" s="14">
        <f>F800+F801+F802</f>
        <v>8221.5</v>
      </c>
      <c r="G799" s="14">
        <f>G800+G801+G802</f>
        <v>8041.900000000001</v>
      </c>
      <c r="H799" s="14">
        <f t="shared" si="131"/>
        <v>179.59999999999945</v>
      </c>
      <c r="I799" s="77">
        <f t="shared" si="132"/>
        <v>97.8154837924953</v>
      </c>
      <c r="L799" s="192"/>
      <c r="M799" s="192"/>
      <c r="N799" s="192"/>
      <c r="O799" s="192"/>
      <c r="P799" s="192"/>
      <c r="Q799" s="192"/>
    </row>
    <row r="800" spans="1:17" s="27" customFormat="1" ht="12.75">
      <c r="A800" s="46" t="s">
        <v>176</v>
      </c>
      <c r="B800" s="13" t="s">
        <v>69</v>
      </c>
      <c r="C800" s="13" t="s">
        <v>75</v>
      </c>
      <c r="D800" s="13" t="s">
        <v>278</v>
      </c>
      <c r="E800" s="13" t="s">
        <v>103</v>
      </c>
      <c r="F800" s="14">
        <f>'пр. 4 Вед'!G759</f>
        <v>6450</v>
      </c>
      <c r="G800" s="14">
        <f>'пр. 4 Вед'!H759</f>
        <v>6345.6</v>
      </c>
      <c r="H800" s="14">
        <f t="shared" si="131"/>
        <v>104.39999999999964</v>
      </c>
      <c r="I800" s="77">
        <f t="shared" si="132"/>
        <v>98.38139534883722</v>
      </c>
      <c r="L800" s="192"/>
      <c r="M800" s="192"/>
      <c r="N800" s="192"/>
      <c r="O800" s="192"/>
      <c r="P800" s="192"/>
      <c r="Q800" s="192"/>
    </row>
    <row r="801" spans="1:17" s="27" customFormat="1" ht="25.5">
      <c r="A801" s="46" t="s">
        <v>104</v>
      </c>
      <c r="B801" s="13" t="s">
        <v>69</v>
      </c>
      <c r="C801" s="13" t="s">
        <v>75</v>
      </c>
      <c r="D801" s="13" t="s">
        <v>278</v>
      </c>
      <c r="E801" s="13" t="s">
        <v>105</v>
      </c>
      <c r="F801" s="14">
        <f>'пр. 4 Вед'!G760</f>
        <v>127.5</v>
      </c>
      <c r="G801" s="14">
        <f>'пр. 4 Вед'!H760</f>
        <v>73.5</v>
      </c>
      <c r="H801" s="14">
        <f t="shared" si="131"/>
        <v>54</v>
      </c>
      <c r="I801" s="77">
        <f t="shared" si="132"/>
        <v>57.647058823529406</v>
      </c>
      <c r="L801" s="192"/>
      <c r="M801" s="192"/>
      <c r="N801" s="192"/>
      <c r="O801" s="192"/>
      <c r="P801" s="192"/>
      <c r="Q801" s="192"/>
    </row>
    <row r="802" spans="1:17" s="27" customFormat="1" ht="25.5">
      <c r="A802" s="46" t="s">
        <v>178</v>
      </c>
      <c r="B802" s="13" t="s">
        <v>69</v>
      </c>
      <c r="C802" s="13" t="s">
        <v>75</v>
      </c>
      <c r="D802" s="13" t="s">
        <v>278</v>
      </c>
      <c r="E802" s="13" t="s">
        <v>177</v>
      </c>
      <c r="F802" s="14">
        <f>'пр. 4 Вед'!G761</f>
        <v>1644</v>
      </c>
      <c r="G802" s="14">
        <f>'пр. 4 Вед'!H761</f>
        <v>1622.8</v>
      </c>
      <c r="H802" s="14">
        <f t="shared" si="131"/>
        <v>21.200000000000045</v>
      </c>
      <c r="I802" s="77">
        <f t="shared" si="132"/>
        <v>98.71046228710462</v>
      </c>
      <c r="L802" s="192"/>
      <c r="M802" s="192"/>
      <c r="N802" s="192"/>
      <c r="O802" s="192"/>
      <c r="P802" s="192"/>
      <c r="Q802" s="192"/>
    </row>
    <row r="803" spans="1:17" s="27" customFormat="1" ht="12.75">
      <c r="A803" s="46" t="s">
        <v>274</v>
      </c>
      <c r="B803" s="13" t="s">
        <v>69</v>
      </c>
      <c r="C803" s="13" t="s">
        <v>75</v>
      </c>
      <c r="D803" s="13" t="s">
        <v>279</v>
      </c>
      <c r="E803" s="13"/>
      <c r="F803" s="14">
        <f>F804+F807</f>
        <v>618.5</v>
      </c>
      <c r="G803" s="14">
        <f>G804+G807</f>
        <v>484.40000000000003</v>
      </c>
      <c r="H803" s="14">
        <f t="shared" si="131"/>
        <v>134.09999999999997</v>
      </c>
      <c r="I803" s="77">
        <f t="shared" si="132"/>
        <v>78.31851253031529</v>
      </c>
      <c r="L803" s="192"/>
      <c r="M803" s="192"/>
      <c r="N803" s="192"/>
      <c r="O803" s="192"/>
      <c r="P803" s="192"/>
      <c r="Q803" s="192"/>
    </row>
    <row r="804" spans="1:17" s="27" customFormat="1" ht="12.75">
      <c r="A804" s="46" t="s">
        <v>770</v>
      </c>
      <c r="B804" s="13" t="s">
        <v>69</v>
      </c>
      <c r="C804" s="13" t="s">
        <v>75</v>
      </c>
      <c r="D804" s="13" t="s">
        <v>279</v>
      </c>
      <c r="E804" s="13" t="s">
        <v>113</v>
      </c>
      <c r="F804" s="14">
        <f>F805</f>
        <v>612.6</v>
      </c>
      <c r="G804" s="14">
        <f>G805</f>
        <v>480.6</v>
      </c>
      <c r="H804" s="14">
        <f t="shared" si="131"/>
        <v>132</v>
      </c>
      <c r="I804" s="77">
        <f t="shared" si="132"/>
        <v>78.45249755142018</v>
      </c>
      <c r="L804" s="192"/>
      <c r="M804" s="192"/>
      <c r="N804" s="192"/>
      <c r="O804" s="192"/>
      <c r="P804" s="192"/>
      <c r="Q804" s="192"/>
    </row>
    <row r="805" spans="1:17" s="27" customFormat="1" ht="25.5">
      <c r="A805" s="46" t="s">
        <v>106</v>
      </c>
      <c r="B805" s="13" t="s">
        <v>69</v>
      </c>
      <c r="C805" s="13" t="s">
        <v>75</v>
      </c>
      <c r="D805" s="13" t="s">
        <v>279</v>
      </c>
      <c r="E805" s="13" t="s">
        <v>107</v>
      </c>
      <c r="F805" s="14">
        <f>F806</f>
        <v>612.6</v>
      </c>
      <c r="G805" s="14">
        <f>G806</f>
        <v>480.6</v>
      </c>
      <c r="H805" s="14">
        <f t="shared" si="131"/>
        <v>132</v>
      </c>
      <c r="I805" s="77">
        <f t="shared" si="132"/>
        <v>78.45249755142018</v>
      </c>
      <c r="L805" s="192"/>
      <c r="M805" s="192"/>
      <c r="N805" s="192"/>
      <c r="O805" s="192"/>
      <c r="P805" s="192"/>
      <c r="Q805" s="192"/>
    </row>
    <row r="806" spans="1:17" s="27" customFormat="1" ht="25.5">
      <c r="A806" s="46" t="s">
        <v>108</v>
      </c>
      <c r="B806" s="13" t="s">
        <v>69</v>
      </c>
      <c r="C806" s="13" t="s">
        <v>75</v>
      </c>
      <c r="D806" s="13" t="s">
        <v>279</v>
      </c>
      <c r="E806" s="13" t="s">
        <v>109</v>
      </c>
      <c r="F806" s="14">
        <f>'пр. 4 Вед'!G765</f>
        <v>612.6</v>
      </c>
      <c r="G806" s="14">
        <f>'пр. 4 Вед'!H765</f>
        <v>480.6</v>
      </c>
      <c r="H806" s="14">
        <f t="shared" si="131"/>
        <v>132</v>
      </c>
      <c r="I806" s="77">
        <f t="shared" si="132"/>
        <v>78.45249755142018</v>
      </c>
      <c r="L806" s="192"/>
      <c r="M806" s="192"/>
      <c r="N806" s="192"/>
      <c r="O806" s="192"/>
      <c r="P806" s="192"/>
      <c r="Q806" s="192"/>
    </row>
    <row r="807" spans="1:17" s="27" customFormat="1" ht="12.75">
      <c r="A807" s="46" t="s">
        <v>137</v>
      </c>
      <c r="B807" s="13" t="s">
        <v>69</v>
      </c>
      <c r="C807" s="13" t="s">
        <v>75</v>
      </c>
      <c r="D807" s="13" t="s">
        <v>279</v>
      </c>
      <c r="E807" s="13" t="s">
        <v>138</v>
      </c>
      <c r="F807" s="14">
        <f>F808</f>
        <v>5.9</v>
      </c>
      <c r="G807" s="14">
        <f>G808</f>
        <v>3.8</v>
      </c>
      <c r="H807" s="14">
        <f t="shared" si="131"/>
        <v>2.1000000000000005</v>
      </c>
      <c r="I807" s="77">
        <f t="shared" si="132"/>
        <v>64.40677966101694</v>
      </c>
      <c r="L807" s="192"/>
      <c r="M807" s="192"/>
      <c r="N807" s="192"/>
      <c r="O807" s="192"/>
      <c r="P807" s="192"/>
      <c r="Q807" s="192"/>
    </row>
    <row r="808" spans="1:17" s="27" customFormat="1" ht="12.75">
      <c r="A808" s="46" t="s">
        <v>140</v>
      </c>
      <c r="B808" s="13" t="s">
        <v>69</v>
      </c>
      <c r="C808" s="13" t="s">
        <v>75</v>
      </c>
      <c r="D808" s="13" t="s">
        <v>279</v>
      </c>
      <c r="E808" s="13" t="s">
        <v>141</v>
      </c>
      <c r="F808" s="14">
        <f>F809+F810+F811</f>
        <v>5.9</v>
      </c>
      <c r="G808" s="14">
        <f>G809+G810+G811</f>
        <v>3.8</v>
      </c>
      <c r="H808" s="14">
        <f t="shared" si="131"/>
        <v>2.1000000000000005</v>
      </c>
      <c r="I808" s="77">
        <f t="shared" si="132"/>
        <v>64.40677966101694</v>
      </c>
      <c r="L808" s="192"/>
      <c r="M808" s="192"/>
      <c r="N808" s="192"/>
      <c r="O808" s="192"/>
      <c r="P808" s="192"/>
      <c r="Q808" s="192"/>
    </row>
    <row r="809" spans="1:17" s="27" customFormat="1" ht="12.75">
      <c r="A809" s="46" t="s">
        <v>142</v>
      </c>
      <c r="B809" s="13" t="s">
        <v>69</v>
      </c>
      <c r="C809" s="13" t="s">
        <v>75</v>
      </c>
      <c r="D809" s="13" t="s">
        <v>279</v>
      </c>
      <c r="E809" s="13" t="s">
        <v>143</v>
      </c>
      <c r="F809" s="14">
        <f>'пр. 4 Вед'!G768</f>
        <v>1</v>
      </c>
      <c r="G809" s="14">
        <f>'пр. 4 Вед'!H768</f>
        <v>1</v>
      </c>
      <c r="H809" s="14">
        <f t="shared" si="131"/>
        <v>0</v>
      </c>
      <c r="I809" s="77">
        <f t="shared" si="132"/>
        <v>100</v>
      </c>
      <c r="L809" s="192"/>
      <c r="M809" s="192"/>
      <c r="N809" s="192"/>
      <c r="O809" s="192"/>
      <c r="P809" s="192"/>
      <c r="Q809" s="192"/>
    </row>
    <row r="810" spans="1:17" s="27" customFormat="1" ht="12.75">
      <c r="A810" s="46" t="s">
        <v>179</v>
      </c>
      <c r="B810" s="13" t="s">
        <v>69</v>
      </c>
      <c r="C810" s="13" t="s">
        <v>75</v>
      </c>
      <c r="D810" s="13" t="s">
        <v>279</v>
      </c>
      <c r="E810" s="13" t="s">
        <v>144</v>
      </c>
      <c r="F810" s="14">
        <f>'пр. 4 Вед'!G769</f>
        <v>3.9</v>
      </c>
      <c r="G810" s="14">
        <f>'пр. 4 Вед'!H769</f>
        <v>2.4</v>
      </c>
      <c r="H810" s="14">
        <f t="shared" si="131"/>
        <v>1.5</v>
      </c>
      <c r="I810" s="77">
        <f t="shared" si="132"/>
        <v>61.53846153846154</v>
      </c>
      <c r="L810" s="192"/>
      <c r="M810" s="192"/>
      <c r="N810" s="192"/>
      <c r="O810" s="192"/>
      <c r="P810" s="192"/>
      <c r="Q810" s="192"/>
    </row>
    <row r="811" spans="1:17" s="27" customFormat="1" ht="12.75">
      <c r="A811" s="46" t="s">
        <v>180</v>
      </c>
      <c r="B811" s="13" t="s">
        <v>69</v>
      </c>
      <c r="C811" s="13" t="s">
        <v>75</v>
      </c>
      <c r="D811" s="13" t="s">
        <v>279</v>
      </c>
      <c r="E811" s="13" t="s">
        <v>181</v>
      </c>
      <c r="F811" s="14">
        <f>'пр. 4 Вед'!G770</f>
        <v>1</v>
      </c>
      <c r="G811" s="14">
        <f>'пр. 4 Вед'!H770</f>
        <v>0.4</v>
      </c>
      <c r="H811" s="14">
        <f t="shared" si="131"/>
        <v>0.6</v>
      </c>
      <c r="I811" s="77">
        <f t="shared" si="132"/>
        <v>40</v>
      </c>
      <c r="L811" s="192"/>
      <c r="M811" s="192"/>
      <c r="N811" s="192"/>
      <c r="O811" s="192"/>
      <c r="P811" s="192"/>
      <c r="Q811" s="192"/>
    </row>
    <row r="812" spans="1:17" s="27" customFormat="1" ht="38.25">
      <c r="A812" s="46" t="s">
        <v>405</v>
      </c>
      <c r="B812" s="13" t="s">
        <v>69</v>
      </c>
      <c r="C812" s="13" t="s">
        <v>75</v>
      </c>
      <c r="D812" s="13" t="s">
        <v>266</v>
      </c>
      <c r="E812" s="13"/>
      <c r="F812" s="14">
        <f>F814+F828</f>
        <v>27149.300000000003</v>
      </c>
      <c r="G812" s="14">
        <f>G814+G828</f>
        <v>26773.800000000003</v>
      </c>
      <c r="H812" s="14">
        <f t="shared" si="131"/>
        <v>375.5</v>
      </c>
      <c r="I812" s="77">
        <f t="shared" si="132"/>
        <v>98.61690724991068</v>
      </c>
      <c r="L812" s="192"/>
      <c r="M812" s="192"/>
      <c r="N812" s="192"/>
      <c r="O812" s="192"/>
      <c r="P812" s="192"/>
      <c r="Q812" s="192"/>
    </row>
    <row r="813" spans="1:17" s="27" customFormat="1" ht="25.5">
      <c r="A813" s="46" t="s">
        <v>289</v>
      </c>
      <c r="B813" s="13" t="s">
        <v>69</v>
      </c>
      <c r="C813" s="13" t="s">
        <v>75</v>
      </c>
      <c r="D813" s="13" t="s">
        <v>518</v>
      </c>
      <c r="E813" s="13"/>
      <c r="F813" s="14">
        <f>F814+F828</f>
        <v>27149.300000000003</v>
      </c>
      <c r="G813" s="14">
        <f>G814+G828</f>
        <v>26773.800000000003</v>
      </c>
      <c r="H813" s="14">
        <f t="shared" si="131"/>
        <v>375.5</v>
      </c>
      <c r="I813" s="77">
        <f t="shared" si="132"/>
        <v>98.61690724991068</v>
      </c>
      <c r="L813" s="192"/>
      <c r="M813" s="192"/>
      <c r="N813" s="192"/>
      <c r="O813" s="192"/>
      <c r="P813" s="192"/>
      <c r="Q813" s="192"/>
    </row>
    <row r="814" spans="1:17" s="27" customFormat="1" ht="21" customHeight="1">
      <c r="A814" s="46" t="s">
        <v>519</v>
      </c>
      <c r="B814" s="13" t="s">
        <v>69</v>
      </c>
      <c r="C814" s="13" t="s">
        <v>75</v>
      </c>
      <c r="D814" s="13" t="s">
        <v>554</v>
      </c>
      <c r="E814" s="13"/>
      <c r="F814" s="14">
        <f>F815+F820+F823</f>
        <v>13937.4</v>
      </c>
      <c r="G814" s="14">
        <f>G815+G820+G823</f>
        <v>13841.600000000002</v>
      </c>
      <c r="H814" s="14">
        <f t="shared" si="131"/>
        <v>95.79999999999745</v>
      </c>
      <c r="I814" s="77">
        <f t="shared" si="132"/>
        <v>99.3126408081852</v>
      </c>
      <c r="L814" s="192"/>
      <c r="M814" s="192"/>
      <c r="N814" s="192"/>
      <c r="O814" s="192"/>
      <c r="P814" s="192"/>
      <c r="Q814" s="192"/>
    </row>
    <row r="815" spans="1:17" s="27" customFormat="1" ht="38.25">
      <c r="A815" s="46" t="s">
        <v>110</v>
      </c>
      <c r="B815" s="13" t="s">
        <v>69</v>
      </c>
      <c r="C815" s="13" t="s">
        <v>75</v>
      </c>
      <c r="D815" s="13" t="s">
        <v>554</v>
      </c>
      <c r="E815" s="13" t="s">
        <v>111</v>
      </c>
      <c r="F815" s="14">
        <f>F816</f>
        <v>12882.5</v>
      </c>
      <c r="G815" s="14">
        <f>G816</f>
        <v>12862.600000000002</v>
      </c>
      <c r="H815" s="14">
        <f t="shared" si="131"/>
        <v>19.899999999997817</v>
      </c>
      <c r="I815" s="77">
        <f t="shared" si="132"/>
        <v>99.84552687754707</v>
      </c>
      <c r="L815" s="192"/>
      <c r="M815" s="192"/>
      <c r="N815" s="192"/>
      <c r="O815" s="192"/>
      <c r="P815" s="192"/>
      <c r="Q815" s="192"/>
    </row>
    <row r="816" spans="1:17" s="27" customFormat="1" ht="12.75">
      <c r="A816" s="69" t="s">
        <v>406</v>
      </c>
      <c r="B816" s="13" t="s">
        <v>69</v>
      </c>
      <c r="C816" s="13" t="s">
        <v>75</v>
      </c>
      <c r="D816" s="13" t="s">
        <v>554</v>
      </c>
      <c r="E816" s="13" t="s">
        <v>408</v>
      </c>
      <c r="F816" s="14">
        <f>F817+F818+F819</f>
        <v>12882.5</v>
      </c>
      <c r="G816" s="14">
        <f>G817+G818+G819</f>
        <v>12862.600000000002</v>
      </c>
      <c r="H816" s="14">
        <f t="shared" si="131"/>
        <v>19.899999999997817</v>
      </c>
      <c r="I816" s="77">
        <f t="shared" si="132"/>
        <v>99.84552687754707</v>
      </c>
      <c r="L816" s="192"/>
      <c r="M816" s="192"/>
      <c r="N816" s="192"/>
      <c r="O816" s="192"/>
      <c r="P816" s="192"/>
      <c r="Q816" s="192"/>
    </row>
    <row r="817" spans="1:17" s="27" customFormat="1" ht="12.75">
      <c r="A817" s="46" t="s">
        <v>573</v>
      </c>
      <c r="B817" s="13" t="s">
        <v>69</v>
      </c>
      <c r="C817" s="13" t="s">
        <v>75</v>
      </c>
      <c r="D817" s="13" t="s">
        <v>554</v>
      </c>
      <c r="E817" s="13" t="s">
        <v>409</v>
      </c>
      <c r="F817" s="14">
        <f>'пр. 4 Вед'!G776</f>
        <v>9961.5</v>
      </c>
      <c r="G817" s="14">
        <f>'пр. 4 Вед'!H776</f>
        <v>9953.7</v>
      </c>
      <c r="H817" s="14">
        <f t="shared" si="131"/>
        <v>7.799999999999272</v>
      </c>
      <c r="I817" s="77">
        <f t="shared" si="132"/>
        <v>99.9216985393766</v>
      </c>
      <c r="L817" s="192"/>
      <c r="M817" s="192"/>
      <c r="N817" s="192"/>
      <c r="O817" s="192"/>
      <c r="P817" s="192"/>
      <c r="Q817" s="192"/>
    </row>
    <row r="818" spans="1:17" s="27" customFormat="1" ht="12.75">
      <c r="A818" s="46" t="s">
        <v>574</v>
      </c>
      <c r="B818" s="13" t="s">
        <v>69</v>
      </c>
      <c r="C818" s="13" t="s">
        <v>75</v>
      </c>
      <c r="D818" s="13" t="s">
        <v>554</v>
      </c>
      <c r="E818" s="13" t="s">
        <v>407</v>
      </c>
      <c r="F818" s="14">
        <f>'пр. 4 Вед'!G777</f>
        <v>34.6</v>
      </c>
      <c r="G818" s="14">
        <f>'пр. 4 Вед'!H777</f>
        <v>22.7</v>
      </c>
      <c r="H818" s="14">
        <f t="shared" si="131"/>
        <v>11.900000000000002</v>
      </c>
      <c r="I818" s="77">
        <f t="shared" si="132"/>
        <v>65.60693641618496</v>
      </c>
      <c r="L818" s="192"/>
      <c r="M818" s="192"/>
      <c r="N818" s="192"/>
      <c r="O818" s="192"/>
      <c r="P818" s="192"/>
      <c r="Q818" s="192"/>
    </row>
    <row r="819" spans="1:17" s="27" customFormat="1" ht="25.5">
      <c r="A819" s="46" t="s">
        <v>576</v>
      </c>
      <c r="B819" s="13" t="s">
        <v>69</v>
      </c>
      <c r="C819" s="13" t="s">
        <v>75</v>
      </c>
      <c r="D819" s="13" t="s">
        <v>554</v>
      </c>
      <c r="E819" s="13" t="s">
        <v>410</v>
      </c>
      <c r="F819" s="14">
        <f>'пр. 4 Вед'!G778</f>
        <v>2886.4</v>
      </c>
      <c r="G819" s="14">
        <f>'пр. 4 Вед'!H778</f>
        <v>2886.2</v>
      </c>
      <c r="H819" s="14">
        <f t="shared" si="131"/>
        <v>0.20000000000027285</v>
      </c>
      <c r="I819" s="77">
        <f t="shared" si="132"/>
        <v>99.9930709534368</v>
      </c>
      <c r="L819" s="192"/>
      <c r="M819" s="192"/>
      <c r="N819" s="192"/>
      <c r="O819" s="192"/>
      <c r="P819" s="192"/>
      <c r="Q819" s="192"/>
    </row>
    <row r="820" spans="1:17" s="27" customFormat="1" ht="12.75">
      <c r="A820" s="46" t="s">
        <v>770</v>
      </c>
      <c r="B820" s="13" t="s">
        <v>69</v>
      </c>
      <c r="C820" s="13" t="s">
        <v>75</v>
      </c>
      <c r="D820" s="13" t="s">
        <v>554</v>
      </c>
      <c r="E820" s="13" t="s">
        <v>113</v>
      </c>
      <c r="F820" s="14">
        <f>F821</f>
        <v>1047.8</v>
      </c>
      <c r="G820" s="14">
        <f>G821</f>
        <v>975</v>
      </c>
      <c r="H820" s="14">
        <f t="shared" si="131"/>
        <v>72.79999999999995</v>
      </c>
      <c r="I820" s="77">
        <f t="shared" si="132"/>
        <v>93.05210918114145</v>
      </c>
      <c r="L820" s="192"/>
      <c r="M820" s="192"/>
      <c r="N820" s="192"/>
      <c r="O820" s="192"/>
      <c r="P820" s="192"/>
      <c r="Q820" s="192"/>
    </row>
    <row r="821" spans="1:17" s="27" customFormat="1" ht="25.5">
      <c r="A821" s="46" t="s">
        <v>106</v>
      </c>
      <c r="B821" s="13" t="s">
        <v>69</v>
      </c>
      <c r="C821" s="13" t="s">
        <v>75</v>
      </c>
      <c r="D821" s="13" t="s">
        <v>554</v>
      </c>
      <c r="E821" s="13" t="s">
        <v>107</v>
      </c>
      <c r="F821" s="14">
        <f>F822</f>
        <v>1047.8</v>
      </c>
      <c r="G821" s="14">
        <f>G822</f>
        <v>975</v>
      </c>
      <c r="H821" s="14">
        <f t="shared" si="131"/>
        <v>72.79999999999995</v>
      </c>
      <c r="I821" s="77">
        <f t="shared" si="132"/>
        <v>93.05210918114145</v>
      </c>
      <c r="L821" s="192"/>
      <c r="M821" s="192"/>
      <c r="N821" s="192"/>
      <c r="O821" s="192"/>
      <c r="P821" s="192"/>
      <c r="Q821" s="192"/>
    </row>
    <row r="822" spans="1:17" s="27" customFormat="1" ht="25.5">
      <c r="A822" s="46" t="s">
        <v>108</v>
      </c>
      <c r="B822" s="13" t="s">
        <v>69</v>
      </c>
      <c r="C822" s="13" t="s">
        <v>75</v>
      </c>
      <c r="D822" s="13" t="s">
        <v>554</v>
      </c>
      <c r="E822" s="13" t="s">
        <v>109</v>
      </c>
      <c r="F822" s="14">
        <f>'пр. 4 Вед'!G781</f>
        <v>1047.8</v>
      </c>
      <c r="G822" s="14">
        <f>'пр. 4 Вед'!H781</f>
        <v>975</v>
      </c>
      <c r="H822" s="14">
        <f t="shared" si="131"/>
        <v>72.79999999999995</v>
      </c>
      <c r="I822" s="77">
        <f t="shared" si="132"/>
        <v>93.05210918114145</v>
      </c>
      <c r="L822" s="192"/>
      <c r="M822" s="192"/>
      <c r="N822" s="192"/>
      <c r="O822" s="192"/>
      <c r="P822" s="192"/>
      <c r="Q822" s="192"/>
    </row>
    <row r="823" spans="1:17" s="27" customFormat="1" ht="12.75">
      <c r="A823" s="46" t="s">
        <v>137</v>
      </c>
      <c r="B823" s="13" t="s">
        <v>69</v>
      </c>
      <c r="C823" s="13" t="s">
        <v>75</v>
      </c>
      <c r="D823" s="13" t="s">
        <v>554</v>
      </c>
      <c r="E823" s="13" t="s">
        <v>138</v>
      </c>
      <c r="F823" s="14">
        <f>F824</f>
        <v>7.1</v>
      </c>
      <c r="G823" s="14">
        <f>G824</f>
        <v>4</v>
      </c>
      <c r="H823" s="14">
        <f t="shared" si="131"/>
        <v>3.0999999999999996</v>
      </c>
      <c r="I823" s="77">
        <f t="shared" si="132"/>
        <v>56.33802816901409</v>
      </c>
      <c r="L823" s="192"/>
      <c r="M823" s="192"/>
      <c r="N823" s="192"/>
      <c r="O823" s="192"/>
      <c r="P823" s="192"/>
      <c r="Q823" s="192"/>
    </row>
    <row r="824" spans="1:17" s="27" customFormat="1" ht="12.75">
      <c r="A824" s="46" t="s">
        <v>140</v>
      </c>
      <c r="B824" s="13" t="s">
        <v>69</v>
      </c>
      <c r="C824" s="13" t="s">
        <v>75</v>
      </c>
      <c r="D824" s="13" t="s">
        <v>554</v>
      </c>
      <c r="E824" s="13" t="s">
        <v>141</v>
      </c>
      <c r="F824" s="14">
        <f>F825+F826+F827</f>
        <v>7.1</v>
      </c>
      <c r="G824" s="14">
        <f>G825+G826+G827</f>
        <v>4</v>
      </c>
      <c r="H824" s="14">
        <f t="shared" si="131"/>
        <v>3.0999999999999996</v>
      </c>
      <c r="I824" s="77">
        <f t="shared" si="132"/>
        <v>56.33802816901409</v>
      </c>
      <c r="L824" s="192"/>
      <c r="M824" s="192"/>
      <c r="N824" s="192"/>
      <c r="O824" s="192"/>
      <c r="P824" s="192"/>
      <c r="Q824" s="192"/>
    </row>
    <row r="825" spans="1:17" s="27" customFormat="1" ht="12.75">
      <c r="A825" s="46" t="s">
        <v>142</v>
      </c>
      <c r="B825" s="13" t="s">
        <v>69</v>
      </c>
      <c r="C825" s="13" t="s">
        <v>75</v>
      </c>
      <c r="D825" s="13" t="s">
        <v>554</v>
      </c>
      <c r="E825" s="13" t="s">
        <v>143</v>
      </c>
      <c r="F825" s="14">
        <f>'пр. 4 Вед'!G784</f>
        <v>4</v>
      </c>
      <c r="G825" s="14">
        <f>'пр. 4 Вед'!H784</f>
        <v>4</v>
      </c>
      <c r="H825" s="14">
        <f t="shared" si="131"/>
        <v>0</v>
      </c>
      <c r="I825" s="77">
        <f t="shared" si="132"/>
        <v>100</v>
      </c>
      <c r="L825" s="192"/>
      <c r="M825" s="192"/>
      <c r="N825" s="192"/>
      <c r="O825" s="192"/>
      <c r="P825" s="192"/>
      <c r="Q825" s="192"/>
    </row>
    <row r="826" spans="1:17" s="27" customFormat="1" ht="12.75">
      <c r="A826" s="46" t="s">
        <v>179</v>
      </c>
      <c r="B826" s="13" t="s">
        <v>69</v>
      </c>
      <c r="C826" s="13" t="s">
        <v>75</v>
      </c>
      <c r="D826" s="13" t="s">
        <v>554</v>
      </c>
      <c r="E826" s="13" t="s">
        <v>144</v>
      </c>
      <c r="F826" s="14">
        <f>'пр. 4 Вед'!G785</f>
        <v>2.1</v>
      </c>
      <c r="G826" s="14">
        <f>'пр. 4 Вед'!H785</f>
        <v>0</v>
      </c>
      <c r="H826" s="14">
        <f t="shared" si="131"/>
        <v>2.1</v>
      </c>
      <c r="I826" s="77">
        <f t="shared" si="132"/>
        <v>0</v>
      </c>
      <c r="L826" s="192"/>
      <c r="M826" s="192"/>
      <c r="N826" s="192"/>
      <c r="O826" s="192"/>
      <c r="P826" s="192"/>
      <c r="Q826" s="192"/>
    </row>
    <row r="827" spans="1:17" s="27" customFormat="1" ht="12.75">
      <c r="A827" s="46" t="s">
        <v>180</v>
      </c>
      <c r="B827" s="13" t="s">
        <v>69</v>
      </c>
      <c r="C827" s="13" t="s">
        <v>75</v>
      </c>
      <c r="D827" s="13" t="s">
        <v>554</v>
      </c>
      <c r="E827" s="13" t="s">
        <v>181</v>
      </c>
      <c r="F827" s="14">
        <f>'пр. 4 Вед'!G786</f>
        <v>1</v>
      </c>
      <c r="G827" s="14">
        <f>'пр. 4 Вед'!H786</f>
        <v>0</v>
      </c>
      <c r="H827" s="14">
        <f t="shared" si="131"/>
        <v>1</v>
      </c>
      <c r="I827" s="77">
        <f t="shared" si="132"/>
        <v>0</v>
      </c>
      <c r="L827" s="192"/>
      <c r="M827" s="192"/>
      <c r="N827" s="192"/>
      <c r="O827" s="192"/>
      <c r="P827" s="192"/>
      <c r="Q827" s="192"/>
    </row>
    <row r="828" spans="1:17" s="27" customFormat="1" ht="12.75">
      <c r="A828" s="46" t="s">
        <v>527</v>
      </c>
      <c r="B828" s="13" t="s">
        <v>69</v>
      </c>
      <c r="C828" s="13" t="s">
        <v>75</v>
      </c>
      <c r="D828" s="13" t="s">
        <v>555</v>
      </c>
      <c r="E828" s="13"/>
      <c r="F828" s="14">
        <f>F829+F834+F837</f>
        <v>13211.900000000001</v>
      </c>
      <c r="G828" s="14">
        <f>G829+G834+G837</f>
        <v>12932.199999999999</v>
      </c>
      <c r="H828" s="14">
        <f t="shared" si="131"/>
        <v>279.70000000000255</v>
      </c>
      <c r="I828" s="77">
        <f t="shared" si="132"/>
        <v>97.88296914145579</v>
      </c>
      <c r="L828" s="192"/>
      <c r="M828" s="192"/>
      <c r="N828" s="192"/>
      <c r="O828" s="192"/>
      <c r="P828" s="192"/>
      <c r="Q828" s="192"/>
    </row>
    <row r="829" spans="1:17" s="27" customFormat="1" ht="38.25">
      <c r="A829" s="46" t="s">
        <v>110</v>
      </c>
      <c r="B829" s="13" t="s">
        <v>69</v>
      </c>
      <c r="C829" s="13" t="s">
        <v>75</v>
      </c>
      <c r="D829" s="13" t="s">
        <v>555</v>
      </c>
      <c r="E829" s="13" t="s">
        <v>111</v>
      </c>
      <c r="F829" s="14">
        <f>F830</f>
        <v>9464.2</v>
      </c>
      <c r="G829" s="14">
        <f>G830</f>
        <v>9368.4</v>
      </c>
      <c r="H829" s="14">
        <f t="shared" si="131"/>
        <v>95.80000000000109</v>
      </c>
      <c r="I829" s="77">
        <f t="shared" si="132"/>
        <v>98.98776441748906</v>
      </c>
      <c r="L829" s="192"/>
      <c r="M829" s="192"/>
      <c r="N829" s="192"/>
      <c r="O829" s="192"/>
      <c r="P829" s="192"/>
      <c r="Q829" s="192"/>
    </row>
    <row r="830" spans="1:17" s="27" customFormat="1" ht="12.75">
      <c r="A830" s="69" t="s">
        <v>406</v>
      </c>
      <c r="B830" s="13" t="s">
        <v>69</v>
      </c>
      <c r="C830" s="13" t="s">
        <v>75</v>
      </c>
      <c r="D830" s="13" t="s">
        <v>555</v>
      </c>
      <c r="E830" s="13" t="s">
        <v>408</v>
      </c>
      <c r="F830" s="14">
        <f>F831+F832+F833</f>
        <v>9464.2</v>
      </c>
      <c r="G830" s="14">
        <f>G831+G832+G833</f>
        <v>9368.4</v>
      </c>
      <c r="H830" s="14">
        <f t="shared" si="131"/>
        <v>95.80000000000109</v>
      </c>
      <c r="I830" s="77">
        <f t="shared" si="132"/>
        <v>98.98776441748906</v>
      </c>
      <c r="L830" s="192"/>
      <c r="M830" s="192"/>
      <c r="N830" s="192"/>
      <c r="O830" s="192"/>
      <c r="P830" s="192"/>
      <c r="Q830" s="192"/>
    </row>
    <row r="831" spans="1:17" s="27" customFormat="1" ht="12.75">
      <c r="A831" s="46" t="s">
        <v>573</v>
      </c>
      <c r="B831" s="13" t="s">
        <v>69</v>
      </c>
      <c r="C831" s="13" t="s">
        <v>75</v>
      </c>
      <c r="D831" s="13" t="s">
        <v>555</v>
      </c>
      <c r="E831" s="13" t="s">
        <v>409</v>
      </c>
      <c r="F831" s="14">
        <f>'пр. 4 Вед'!G790</f>
        <v>7034.2</v>
      </c>
      <c r="G831" s="14">
        <f>'пр. 4 Вед'!H790</f>
        <v>6964.9</v>
      </c>
      <c r="H831" s="14">
        <f t="shared" si="131"/>
        <v>69.30000000000018</v>
      </c>
      <c r="I831" s="77">
        <f t="shared" si="132"/>
        <v>99.01481334053624</v>
      </c>
      <c r="L831" s="192"/>
      <c r="M831" s="192"/>
      <c r="N831" s="192"/>
      <c r="O831" s="192"/>
      <c r="P831" s="192"/>
      <c r="Q831" s="192"/>
    </row>
    <row r="832" spans="1:17" s="27" customFormat="1" ht="12.75">
      <c r="A832" s="46" t="s">
        <v>574</v>
      </c>
      <c r="B832" s="13" t="s">
        <v>69</v>
      </c>
      <c r="C832" s="13" t="s">
        <v>75</v>
      </c>
      <c r="D832" s="13" t="s">
        <v>555</v>
      </c>
      <c r="E832" s="13" t="s">
        <v>407</v>
      </c>
      <c r="F832" s="14">
        <f>'пр. 4 Вед'!G791</f>
        <v>383.1</v>
      </c>
      <c r="G832" s="14">
        <f>'пр. 4 Вед'!H791</f>
        <v>366.9</v>
      </c>
      <c r="H832" s="14">
        <f t="shared" si="131"/>
        <v>16.200000000000045</v>
      </c>
      <c r="I832" s="77">
        <f t="shared" si="132"/>
        <v>95.77133907595928</v>
      </c>
      <c r="L832" s="192"/>
      <c r="M832" s="192"/>
      <c r="N832" s="192"/>
      <c r="O832" s="192"/>
      <c r="P832" s="192"/>
      <c r="Q832" s="192"/>
    </row>
    <row r="833" spans="1:17" s="27" customFormat="1" ht="25.5">
      <c r="A833" s="46" t="s">
        <v>576</v>
      </c>
      <c r="B833" s="13" t="s">
        <v>69</v>
      </c>
      <c r="C833" s="13" t="s">
        <v>75</v>
      </c>
      <c r="D833" s="13" t="s">
        <v>555</v>
      </c>
      <c r="E833" s="13" t="s">
        <v>410</v>
      </c>
      <c r="F833" s="14">
        <f>'пр. 4 Вед'!G792</f>
        <v>2046.9</v>
      </c>
      <c r="G833" s="14">
        <f>'пр. 4 Вед'!H792</f>
        <v>2036.6</v>
      </c>
      <c r="H833" s="14">
        <f t="shared" si="131"/>
        <v>10.300000000000182</v>
      </c>
      <c r="I833" s="77">
        <f t="shared" si="132"/>
        <v>99.49680003908348</v>
      </c>
      <c r="L833" s="192"/>
      <c r="M833" s="192"/>
      <c r="N833" s="192"/>
      <c r="O833" s="192"/>
      <c r="P833" s="192"/>
      <c r="Q833" s="192"/>
    </row>
    <row r="834" spans="1:17" s="27" customFormat="1" ht="12.75">
      <c r="A834" s="46" t="s">
        <v>770</v>
      </c>
      <c r="B834" s="13" t="s">
        <v>69</v>
      </c>
      <c r="C834" s="13" t="s">
        <v>75</v>
      </c>
      <c r="D834" s="13" t="s">
        <v>555</v>
      </c>
      <c r="E834" s="13" t="s">
        <v>113</v>
      </c>
      <c r="F834" s="14">
        <f>F835</f>
        <v>3591.6000000000004</v>
      </c>
      <c r="G834" s="14">
        <f>G835</f>
        <v>3409.4</v>
      </c>
      <c r="H834" s="14">
        <f t="shared" si="131"/>
        <v>182.20000000000027</v>
      </c>
      <c r="I834" s="77">
        <f t="shared" si="132"/>
        <v>94.92705201024613</v>
      </c>
      <c r="L834" s="192"/>
      <c r="M834" s="192"/>
      <c r="N834" s="192"/>
      <c r="O834" s="192"/>
      <c r="P834" s="192"/>
      <c r="Q834" s="192"/>
    </row>
    <row r="835" spans="1:17" s="27" customFormat="1" ht="18" customHeight="1">
      <c r="A835" s="46" t="s">
        <v>106</v>
      </c>
      <c r="B835" s="13" t="s">
        <v>69</v>
      </c>
      <c r="C835" s="13" t="s">
        <v>75</v>
      </c>
      <c r="D835" s="13" t="s">
        <v>555</v>
      </c>
      <c r="E835" s="13" t="s">
        <v>107</v>
      </c>
      <c r="F835" s="14">
        <f>F836</f>
        <v>3591.6000000000004</v>
      </c>
      <c r="G835" s="14">
        <f>G836</f>
        <v>3409.4</v>
      </c>
      <c r="H835" s="14">
        <f t="shared" si="131"/>
        <v>182.20000000000027</v>
      </c>
      <c r="I835" s="77">
        <f t="shared" si="132"/>
        <v>94.92705201024613</v>
      </c>
      <c r="L835" s="192"/>
      <c r="M835" s="192"/>
      <c r="N835" s="192"/>
      <c r="O835" s="192"/>
      <c r="P835" s="192"/>
      <c r="Q835" s="192"/>
    </row>
    <row r="836" spans="1:17" s="27" customFormat="1" ht="20.25" customHeight="1">
      <c r="A836" s="46" t="s">
        <v>108</v>
      </c>
      <c r="B836" s="13" t="s">
        <v>69</v>
      </c>
      <c r="C836" s="13" t="s">
        <v>75</v>
      </c>
      <c r="D836" s="13" t="s">
        <v>555</v>
      </c>
      <c r="E836" s="13" t="s">
        <v>109</v>
      </c>
      <c r="F836" s="14">
        <f>'пр. 4 Вед'!G795</f>
        <v>3591.6000000000004</v>
      </c>
      <c r="G836" s="14">
        <f>'пр. 4 Вед'!H795</f>
        <v>3409.4</v>
      </c>
      <c r="H836" s="14">
        <f t="shared" si="131"/>
        <v>182.20000000000027</v>
      </c>
      <c r="I836" s="77">
        <f t="shared" si="132"/>
        <v>94.92705201024613</v>
      </c>
      <c r="L836" s="192"/>
      <c r="M836" s="192"/>
      <c r="N836" s="192"/>
      <c r="O836" s="192"/>
      <c r="P836" s="192"/>
      <c r="Q836" s="192"/>
    </row>
    <row r="837" spans="1:17" s="27" customFormat="1" ht="12.75">
      <c r="A837" s="46" t="s">
        <v>137</v>
      </c>
      <c r="B837" s="13" t="s">
        <v>69</v>
      </c>
      <c r="C837" s="13" t="s">
        <v>75</v>
      </c>
      <c r="D837" s="13" t="s">
        <v>555</v>
      </c>
      <c r="E837" s="13" t="s">
        <v>138</v>
      </c>
      <c r="F837" s="14">
        <f>F838</f>
        <v>156.1</v>
      </c>
      <c r="G837" s="14">
        <f>G838</f>
        <v>154.4</v>
      </c>
      <c r="H837" s="14">
        <f t="shared" si="131"/>
        <v>1.6999999999999886</v>
      </c>
      <c r="I837" s="77">
        <f t="shared" si="132"/>
        <v>98.91095451633569</v>
      </c>
      <c r="L837" s="192"/>
      <c r="M837" s="192"/>
      <c r="N837" s="192"/>
      <c r="O837" s="192"/>
      <c r="P837" s="192"/>
      <c r="Q837" s="192"/>
    </row>
    <row r="838" spans="1:17" s="27" customFormat="1" ht="12.75">
      <c r="A838" s="46" t="s">
        <v>140</v>
      </c>
      <c r="B838" s="13" t="s">
        <v>69</v>
      </c>
      <c r="C838" s="13" t="s">
        <v>75</v>
      </c>
      <c r="D838" s="13" t="s">
        <v>555</v>
      </c>
      <c r="E838" s="13" t="s">
        <v>141</v>
      </c>
      <c r="F838" s="14">
        <f>F839+F840+F841</f>
        <v>156.1</v>
      </c>
      <c r="G838" s="14">
        <f>G839+G840+G841</f>
        <v>154.4</v>
      </c>
      <c r="H838" s="14">
        <f t="shared" si="131"/>
        <v>1.6999999999999886</v>
      </c>
      <c r="I838" s="77">
        <f t="shared" si="132"/>
        <v>98.91095451633569</v>
      </c>
      <c r="L838" s="192"/>
      <c r="M838" s="192"/>
      <c r="N838" s="192"/>
      <c r="O838" s="192"/>
      <c r="P838" s="192"/>
      <c r="Q838" s="192"/>
    </row>
    <row r="839" spans="1:17" s="27" customFormat="1" ht="12.75">
      <c r="A839" s="46" t="s">
        <v>142</v>
      </c>
      <c r="B839" s="13" t="s">
        <v>69</v>
      </c>
      <c r="C839" s="13" t="s">
        <v>75</v>
      </c>
      <c r="D839" s="13" t="s">
        <v>555</v>
      </c>
      <c r="E839" s="13" t="s">
        <v>143</v>
      </c>
      <c r="F839" s="14">
        <f>'пр. 4 Вед'!G798</f>
        <v>68.5</v>
      </c>
      <c r="G839" s="14">
        <f>'пр. 4 Вед'!H798</f>
        <v>66.8</v>
      </c>
      <c r="H839" s="14">
        <f t="shared" si="131"/>
        <v>1.7000000000000028</v>
      </c>
      <c r="I839" s="77">
        <f t="shared" si="132"/>
        <v>97.51824817518248</v>
      </c>
      <c r="L839" s="192"/>
      <c r="M839" s="192"/>
      <c r="N839" s="192"/>
      <c r="O839" s="192"/>
      <c r="P839" s="192"/>
      <c r="Q839" s="192"/>
    </row>
    <row r="840" spans="1:17" s="27" customFormat="1" ht="12.75">
      <c r="A840" s="46" t="s">
        <v>179</v>
      </c>
      <c r="B840" s="13" t="s">
        <v>69</v>
      </c>
      <c r="C840" s="13" t="s">
        <v>75</v>
      </c>
      <c r="D840" s="13" t="s">
        <v>555</v>
      </c>
      <c r="E840" s="13" t="s">
        <v>144</v>
      </c>
      <c r="F840" s="14">
        <f>'пр. 4 Вед'!G799</f>
        <v>37.1</v>
      </c>
      <c r="G840" s="14">
        <f>'пр. 4 Вед'!H799</f>
        <v>37.1</v>
      </c>
      <c r="H840" s="14">
        <f t="shared" si="131"/>
        <v>0</v>
      </c>
      <c r="I840" s="77">
        <f t="shared" si="132"/>
        <v>100</v>
      </c>
      <c r="L840" s="192"/>
      <c r="M840" s="192"/>
      <c r="N840" s="192"/>
      <c r="O840" s="192"/>
      <c r="P840" s="192"/>
      <c r="Q840" s="192"/>
    </row>
    <row r="841" spans="1:17" s="27" customFormat="1" ht="12.75">
      <c r="A841" s="46" t="s">
        <v>180</v>
      </c>
      <c r="B841" s="13" t="s">
        <v>69</v>
      </c>
      <c r="C841" s="13" t="s">
        <v>75</v>
      </c>
      <c r="D841" s="13" t="s">
        <v>555</v>
      </c>
      <c r="E841" s="13" t="s">
        <v>181</v>
      </c>
      <c r="F841" s="14">
        <f>'пр. 4 Вед'!G800</f>
        <v>50.5</v>
      </c>
      <c r="G841" s="14">
        <f>'пр. 4 Вед'!H800</f>
        <v>50.5</v>
      </c>
      <c r="H841" s="14">
        <f aca="true" t="shared" si="133" ref="H841:H904">F841-G841</f>
        <v>0</v>
      </c>
      <c r="I841" s="77">
        <f aca="true" t="shared" si="134" ref="I841:I904">G841/F841*100</f>
        <v>100</v>
      </c>
      <c r="L841" s="192"/>
      <c r="M841" s="192"/>
      <c r="N841" s="192"/>
      <c r="O841" s="192"/>
      <c r="P841" s="192"/>
      <c r="Q841" s="192"/>
    </row>
    <row r="842" spans="1:17" s="27" customFormat="1" ht="25.5">
      <c r="A842" s="46" t="s">
        <v>364</v>
      </c>
      <c r="B842" s="13" t="s">
        <v>69</v>
      </c>
      <c r="C842" s="13" t="s">
        <v>75</v>
      </c>
      <c r="D842" s="45" t="s">
        <v>224</v>
      </c>
      <c r="E842" s="13"/>
      <c r="F842" s="14">
        <f>F843</f>
        <v>102</v>
      </c>
      <c r="G842" s="14">
        <f>G843</f>
        <v>102</v>
      </c>
      <c r="H842" s="14">
        <f t="shared" si="133"/>
        <v>0</v>
      </c>
      <c r="I842" s="77">
        <f t="shared" si="134"/>
        <v>100</v>
      </c>
      <c r="L842" s="192"/>
      <c r="M842" s="192"/>
      <c r="N842" s="192"/>
      <c r="O842" s="192"/>
      <c r="P842" s="192"/>
      <c r="Q842" s="192"/>
    </row>
    <row r="843" spans="1:17" s="27" customFormat="1" ht="12.75">
      <c r="A843" s="46" t="s">
        <v>296</v>
      </c>
      <c r="B843" s="13" t="s">
        <v>69</v>
      </c>
      <c r="C843" s="13" t="s">
        <v>75</v>
      </c>
      <c r="D843" s="45" t="s">
        <v>477</v>
      </c>
      <c r="E843" s="13"/>
      <c r="F843" s="14">
        <f>F848+F844</f>
        <v>102</v>
      </c>
      <c r="G843" s="14">
        <f>G848+G844</f>
        <v>102</v>
      </c>
      <c r="H843" s="14">
        <f t="shared" si="133"/>
        <v>0</v>
      </c>
      <c r="I843" s="77">
        <f t="shared" si="134"/>
        <v>100</v>
      </c>
      <c r="L843" s="192"/>
      <c r="M843" s="192"/>
      <c r="N843" s="192"/>
      <c r="O843" s="192"/>
      <c r="P843" s="192"/>
      <c r="Q843" s="192"/>
    </row>
    <row r="844" spans="1:17" s="27" customFormat="1" ht="12.75">
      <c r="A844" s="46" t="s">
        <v>711</v>
      </c>
      <c r="B844" s="13" t="s">
        <v>69</v>
      </c>
      <c r="C844" s="13" t="s">
        <v>75</v>
      </c>
      <c r="D844" s="45" t="s">
        <v>478</v>
      </c>
      <c r="E844" s="13"/>
      <c r="F844" s="14">
        <f aca="true" t="shared" si="135" ref="F844:G846">F845</f>
        <v>2</v>
      </c>
      <c r="G844" s="14">
        <f t="shared" si="135"/>
        <v>2</v>
      </c>
      <c r="H844" s="14">
        <f t="shared" si="133"/>
        <v>0</v>
      </c>
      <c r="I844" s="77">
        <f t="shared" si="134"/>
        <v>100</v>
      </c>
      <c r="L844" s="192"/>
      <c r="M844" s="192"/>
      <c r="N844" s="192"/>
      <c r="O844" s="192"/>
      <c r="P844" s="192"/>
      <c r="Q844" s="192"/>
    </row>
    <row r="845" spans="1:17" s="27" customFormat="1" ht="12.75">
      <c r="A845" s="46" t="s">
        <v>770</v>
      </c>
      <c r="B845" s="13" t="s">
        <v>69</v>
      </c>
      <c r="C845" s="13" t="s">
        <v>75</v>
      </c>
      <c r="D845" s="45" t="s">
        <v>478</v>
      </c>
      <c r="E845" s="13" t="s">
        <v>113</v>
      </c>
      <c r="F845" s="14">
        <f t="shared" si="135"/>
        <v>2</v>
      </c>
      <c r="G845" s="14">
        <f t="shared" si="135"/>
        <v>2</v>
      </c>
      <c r="H845" s="14">
        <f t="shared" si="133"/>
        <v>0</v>
      </c>
      <c r="I845" s="77">
        <f t="shared" si="134"/>
        <v>100</v>
      </c>
      <c r="L845" s="192"/>
      <c r="M845" s="192"/>
      <c r="N845" s="192"/>
      <c r="O845" s="192"/>
      <c r="P845" s="192"/>
      <c r="Q845" s="192"/>
    </row>
    <row r="846" spans="1:17" s="27" customFormat="1" ht="18.75" customHeight="1">
      <c r="A846" s="46" t="s">
        <v>106</v>
      </c>
      <c r="B846" s="13" t="s">
        <v>69</v>
      </c>
      <c r="C846" s="13" t="s">
        <v>75</v>
      </c>
      <c r="D846" s="45" t="s">
        <v>478</v>
      </c>
      <c r="E846" s="13" t="s">
        <v>107</v>
      </c>
      <c r="F846" s="14">
        <f t="shared" si="135"/>
        <v>2</v>
      </c>
      <c r="G846" s="14">
        <f t="shared" si="135"/>
        <v>2</v>
      </c>
      <c r="H846" s="14">
        <f t="shared" si="133"/>
        <v>0</v>
      </c>
      <c r="I846" s="77">
        <f t="shared" si="134"/>
        <v>100</v>
      </c>
      <c r="L846" s="192"/>
      <c r="M846" s="192"/>
      <c r="N846" s="192"/>
      <c r="O846" s="192"/>
      <c r="P846" s="192"/>
      <c r="Q846" s="192"/>
    </row>
    <row r="847" spans="1:17" s="27" customFormat="1" ht="16.5" customHeight="1">
      <c r="A847" s="46" t="s">
        <v>108</v>
      </c>
      <c r="B847" s="13" t="s">
        <v>69</v>
      </c>
      <c r="C847" s="13" t="s">
        <v>75</v>
      </c>
      <c r="D847" s="45" t="s">
        <v>478</v>
      </c>
      <c r="E847" s="13" t="s">
        <v>109</v>
      </c>
      <c r="F847" s="14">
        <f>'пр. 4 Вед'!G806</f>
        <v>2</v>
      </c>
      <c r="G847" s="14">
        <f>'пр. 4 Вед'!H806</f>
        <v>2</v>
      </c>
      <c r="H847" s="14">
        <f t="shared" si="133"/>
        <v>0</v>
      </c>
      <c r="I847" s="77">
        <f t="shared" si="134"/>
        <v>100</v>
      </c>
      <c r="L847" s="192"/>
      <c r="M847" s="192"/>
      <c r="N847" s="192"/>
      <c r="O847" s="192"/>
      <c r="P847" s="192"/>
      <c r="Q847" s="192"/>
    </row>
    <row r="848" spans="1:17" s="27" customFormat="1" ht="25.5">
      <c r="A848" s="46" t="s">
        <v>225</v>
      </c>
      <c r="B848" s="13" t="s">
        <v>69</v>
      </c>
      <c r="C848" s="13" t="s">
        <v>75</v>
      </c>
      <c r="D848" s="45" t="s">
        <v>479</v>
      </c>
      <c r="E848" s="13"/>
      <c r="F848" s="14">
        <f>F849+F852</f>
        <v>100</v>
      </c>
      <c r="G848" s="14">
        <f>G849+G852</f>
        <v>100</v>
      </c>
      <c r="H848" s="14">
        <f t="shared" si="133"/>
        <v>0</v>
      </c>
      <c r="I848" s="77">
        <f t="shared" si="134"/>
        <v>100</v>
      </c>
      <c r="L848" s="192"/>
      <c r="M848" s="192"/>
      <c r="N848" s="192"/>
      <c r="O848" s="192"/>
      <c r="P848" s="192"/>
      <c r="Q848" s="192"/>
    </row>
    <row r="849" spans="1:17" s="27" customFormat="1" ht="12.75">
      <c r="A849" s="46" t="s">
        <v>770</v>
      </c>
      <c r="B849" s="13" t="s">
        <v>69</v>
      </c>
      <c r="C849" s="13" t="s">
        <v>75</v>
      </c>
      <c r="D849" s="45" t="s">
        <v>479</v>
      </c>
      <c r="E849" s="13" t="s">
        <v>113</v>
      </c>
      <c r="F849" s="14">
        <f>F850</f>
        <v>70</v>
      </c>
      <c r="G849" s="14">
        <f>G850</f>
        <v>70</v>
      </c>
      <c r="H849" s="14">
        <f t="shared" si="133"/>
        <v>0</v>
      </c>
      <c r="I849" s="77">
        <f t="shared" si="134"/>
        <v>100</v>
      </c>
      <c r="L849" s="192"/>
      <c r="M849" s="192"/>
      <c r="N849" s="192"/>
      <c r="O849" s="192"/>
      <c r="P849" s="192"/>
      <c r="Q849" s="192"/>
    </row>
    <row r="850" spans="1:17" s="27" customFormat="1" ht="25.5">
      <c r="A850" s="46" t="s">
        <v>106</v>
      </c>
      <c r="B850" s="13" t="s">
        <v>69</v>
      </c>
      <c r="C850" s="13" t="s">
        <v>75</v>
      </c>
      <c r="D850" s="45" t="s">
        <v>479</v>
      </c>
      <c r="E850" s="13" t="s">
        <v>107</v>
      </c>
      <c r="F850" s="14">
        <f>F851</f>
        <v>70</v>
      </c>
      <c r="G850" s="14">
        <f>G851</f>
        <v>70</v>
      </c>
      <c r="H850" s="14">
        <f t="shared" si="133"/>
        <v>0</v>
      </c>
      <c r="I850" s="77">
        <f t="shared" si="134"/>
        <v>100</v>
      </c>
      <c r="L850" s="192"/>
      <c r="M850" s="192"/>
      <c r="N850" s="192"/>
      <c r="O850" s="192"/>
      <c r="P850" s="192"/>
      <c r="Q850" s="192"/>
    </row>
    <row r="851" spans="1:17" s="27" customFormat="1" ht="25.5">
      <c r="A851" s="46" t="s">
        <v>108</v>
      </c>
      <c r="B851" s="13" t="s">
        <v>69</v>
      </c>
      <c r="C851" s="13" t="s">
        <v>75</v>
      </c>
      <c r="D851" s="45" t="s">
        <v>479</v>
      </c>
      <c r="E851" s="13" t="s">
        <v>109</v>
      </c>
      <c r="F851" s="14">
        <f>'пр. 4 Вед'!G810</f>
        <v>70</v>
      </c>
      <c r="G851" s="14">
        <f>'пр. 4 Вед'!H810</f>
        <v>70</v>
      </c>
      <c r="H851" s="14">
        <f t="shared" si="133"/>
        <v>0</v>
      </c>
      <c r="I851" s="77">
        <f t="shared" si="134"/>
        <v>100</v>
      </c>
      <c r="L851" s="192"/>
      <c r="M851" s="192"/>
      <c r="N851" s="192"/>
      <c r="O851" s="192"/>
      <c r="P851" s="192"/>
      <c r="Q851" s="192"/>
    </row>
    <row r="852" spans="1:17" s="27" customFormat="1" ht="12.75">
      <c r="A852" s="46" t="s">
        <v>126</v>
      </c>
      <c r="B852" s="13" t="s">
        <v>69</v>
      </c>
      <c r="C852" s="13" t="s">
        <v>75</v>
      </c>
      <c r="D852" s="45" t="s">
        <v>479</v>
      </c>
      <c r="E852" s="13" t="s">
        <v>127</v>
      </c>
      <c r="F852" s="14">
        <f>F853</f>
        <v>30</v>
      </c>
      <c r="G852" s="14">
        <f>G853</f>
        <v>30</v>
      </c>
      <c r="H852" s="14">
        <f t="shared" si="133"/>
        <v>0</v>
      </c>
      <c r="I852" s="77">
        <f t="shared" si="134"/>
        <v>100</v>
      </c>
      <c r="L852" s="192"/>
      <c r="M852" s="192"/>
      <c r="N852" s="192"/>
      <c r="O852" s="192"/>
      <c r="P852" s="192"/>
      <c r="Q852" s="192"/>
    </row>
    <row r="853" spans="1:17" s="27" customFormat="1" ht="12.75">
      <c r="A853" s="46" t="s">
        <v>160</v>
      </c>
      <c r="B853" s="13" t="s">
        <v>69</v>
      </c>
      <c r="C853" s="13" t="s">
        <v>75</v>
      </c>
      <c r="D853" s="45" t="s">
        <v>479</v>
      </c>
      <c r="E853" s="13" t="s">
        <v>159</v>
      </c>
      <c r="F853" s="14">
        <f>'пр. 4 Вед'!G812</f>
        <v>30</v>
      </c>
      <c r="G853" s="14">
        <f>'пр. 4 Вед'!H812</f>
        <v>30</v>
      </c>
      <c r="H853" s="14">
        <f t="shared" si="133"/>
        <v>0</v>
      </c>
      <c r="I853" s="77">
        <f t="shared" si="134"/>
        <v>100</v>
      </c>
      <c r="L853" s="192"/>
      <c r="M853" s="192"/>
      <c r="N853" s="192"/>
      <c r="O853" s="192"/>
      <c r="P853" s="192"/>
      <c r="Q853" s="192"/>
    </row>
    <row r="854" spans="1:17" s="27" customFormat="1" ht="12.75">
      <c r="A854" s="60" t="s">
        <v>156</v>
      </c>
      <c r="B854" s="29" t="s">
        <v>73</v>
      </c>
      <c r="C854" s="29" t="s">
        <v>36</v>
      </c>
      <c r="D854" s="29"/>
      <c r="E854" s="29"/>
      <c r="F854" s="30">
        <f>F855+F935</f>
        <v>49703.5</v>
      </c>
      <c r="G854" s="30">
        <f>G855+G935</f>
        <v>49616.299999999996</v>
      </c>
      <c r="H854" s="30">
        <f t="shared" si="133"/>
        <v>87.20000000000437</v>
      </c>
      <c r="I854" s="82">
        <f t="shared" si="134"/>
        <v>99.82455963865723</v>
      </c>
      <c r="L854" s="192"/>
      <c r="M854" s="192"/>
      <c r="N854" s="192"/>
      <c r="O854" s="192"/>
      <c r="P854" s="192"/>
      <c r="Q854" s="192"/>
    </row>
    <row r="855" spans="1:17" s="27" customFormat="1" ht="12.75">
      <c r="A855" s="60" t="s">
        <v>12</v>
      </c>
      <c r="B855" s="29" t="s">
        <v>73</v>
      </c>
      <c r="C855" s="29" t="s">
        <v>66</v>
      </c>
      <c r="D855" s="29"/>
      <c r="E855" s="29"/>
      <c r="F855" s="30">
        <f>F856+F869+F897+F907+F914+F928+F863+F883</f>
        <v>32477.399999999998</v>
      </c>
      <c r="G855" s="30">
        <f>G856+G869+G897+G907+G914+G928+G863+G883</f>
        <v>32458.399999999998</v>
      </c>
      <c r="H855" s="30">
        <f t="shared" si="133"/>
        <v>19</v>
      </c>
      <c r="I855" s="82">
        <f t="shared" si="134"/>
        <v>99.9414977799947</v>
      </c>
      <c r="L855" s="192"/>
      <c r="M855" s="192"/>
      <c r="N855" s="192"/>
      <c r="O855" s="192"/>
      <c r="P855" s="192"/>
      <c r="Q855" s="192"/>
    </row>
    <row r="856" spans="1:17" s="27" customFormat="1" ht="25.5">
      <c r="A856" s="46" t="s">
        <v>404</v>
      </c>
      <c r="B856" s="13" t="s">
        <v>73</v>
      </c>
      <c r="C856" s="13" t="s">
        <v>66</v>
      </c>
      <c r="D856" s="13" t="s">
        <v>343</v>
      </c>
      <c r="E856" s="13"/>
      <c r="F856" s="14">
        <f aca="true" t="shared" si="136" ref="F856:G861">F857</f>
        <v>904.1</v>
      </c>
      <c r="G856" s="14">
        <f t="shared" si="136"/>
        <v>904.1</v>
      </c>
      <c r="H856" s="14">
        <f t="shared" si="133"/>
        <v>0</v>
      </c>
      <c r="I856" s="77">
        <f t="shared" si="134"/>
        <v>100</v>
      </c>
      <c r="L856" s="192"/>
      <c r="M856" s="192"/>
      <c r="N856" s="192"/>
      <c r="O856" s="192"/>
      <c r="P856" s="192"/>
      <c r="Q856" s="192"/>
    </row>
    <row r="857" spans="1:17" s="27" customFormat="1" ht="25.5">
      <c r="A857" s="46" t="s">
        <v>378</v>
      </c>
      <c r="B857" s="13" t="s">
        <v>73</v>
      </c>
      <c r="C857" s="13" t="s">
        <v>66</v>
      </c>
      <c r="D857" s="32" t="s">
        <v>379</v>
      </c>
      <c r="E857" s="13"/>
      <c r="F857" s="14">
        <f t="shared" si="136"/>
        <v>904.1</v>
      </c>
      <c r="G857" s="14">
        <f t="shared" si="136"/>
        <v>904.1</v>
      </c>
      <c r="H857" s="14">
        <f t="shared" si="133"/>
        <v>0</v>
      </c>
      <c r="I857" s="77">
        <f t="shared" si="134"/>
        <v>100</v>
      </c>
      <c r="L857" s="192"/>
      <c r="M857" s="192"/>
      <c r="N857" s="192"/>
      <c r="O857" s="192"/>
      <c r="P857" s="192"/>
      <c r="Q857" s="192"/>
    </row>
    <row r="858" spans="1:17" s="27" customFormat="1" ht="25.5">
      <c r="A858" s="46" t="s">
        <v>389</v>
      </c>
      <c r="B858" s="13" t="s">
        <v>73</v>
      </c>
      <c r="C858" s="13" t="s">
        <v>66</v>
      </c>
      <c r="D858" s="32" t="s">
        <v>390</v>
      </c>
      <c r="E858" s="13"/>
      <c r="F858" s="14">
        <f t="shared" si="136"/>
        <v>904.1</v>
      </c>
      <c r="G858" s="14">
        <f t="shared" si="136"/>
        <v>904.1</v>
      </c>
      <c r="H858" s="14">
        <f t="shared" si="133"/>
        <v>0</v>
      </c>
      <c r="I858" s="77">
        <f t="shared" si="134"/>
        <v>100</v>
      </c>
      <c r="L858" s="192"/>
      <c r="M858" s="192"/>
      <c r="N858" s="192"/>
      <c r="O858" s="192"/>
      <c r="P858" s="192"/>
      <c r="Q858" s="192"/>
    </row>
    <row r="859" spans="1:17" s="27" customFormat="1" ht="38.25">
      <c r="A859" s="46" t="s">
        <v>329</v>
      </c>
      <c r="B859" s="13" t="s">
        <v>73</v>
      </c>
      <c r="C859" s="13" t="s">
        <v>66</v>
      </c>
      <c r="D859" s="13" t="s">
        <v>388</v>
      </c>
      <c r="E859" s="13"/>
      <c r="F859" s="14">
        <f t="shared" si="136"/>
        <v>904.1</v>
      </c>
      <c r="G859" s="14">
        <f t="shared" si="136"/>
        <v>904.1</v>
      </c>
      <c r="H859" s="14">
        <f t="shared" si="133"/>
        <v>0</v>
      </c>
      <c r="I859" s="77">
        <f t="shared" si="134"/>
        <v>100</v>
      </c>
      <c r="L859" s="192"/>
      <c r="M859" s="192"/>
      <c r="N859" s="192"/>
      <c r="O859" s="192"/>
      <c r="P859" s="192"/>
      <c r="Q859" s="192"/>
    </row>
    <row r="860" spans="1:17" s="27" customFormat="1" ht="25.5">
      <c r="A860" s="46" t="s">
        <v>114</v>
      </c>
      <c r="B860" s="13" t="s">
        <v>73</v>
      </c>
      <c r="C860" s="13" t="s">
        <v>66</v>
      </c>
      <c r="D860" s="13" t="s">
        <v>388</v>
      </c>
      <c r="E860" s="13" t="s">
        <v>115</v>
      </c>
      <c r="F860" s="14">
        <f t="shared" si="136"/>
        <v>904.1</v>
      </c>
      <c r="G860" s="14">
        <f t="shared" si="136"/>
        <v>904.1</v>
      </c>
      <c r="H860" s="14">
        <f t="shared" si="133"/>
        <v>0</v>
      </c>
      <c r="I860" s="77">
        <f t="shared" si="134"/>
        <v>100</v>
      </c>
      <c r="L860" s="192"/>
      <c r="M860" s="192"/>
      <c r="N860" s="192"/>
      <c r="O860" s="192"/>
      <c r="P860" s="192"/>
      <c r="Q860" s="192"/>
    </row>
    <row r="861" spans="1:17" s="27" customFormat="1" ht="12.75">
      <c r="A861" s="46" t="s">
        <v>120</v>
      </c>
      <c r="B861" s="13" t="s">
        <v>73</v>
      </c>
      <c r="C861" s="13" t="s">
        <v>66</v>
      </c>
      <c r="D861" s="13" t="s">
        <v>388</v>
      </c>
      <c r="E861" s="13" t="s">
        <v>121</v>
      </c>
      <c r="F861" s="14">
        <f t="shared" si="136"/>
        <v>904.1</v>
      </c>
      <c r="G861" s="14">
        <f t="shared" si="136"/>
        <v>904.1</v>
      </c>
      <c r="H861" s="14">
        <f t="shared" si="133"/>
        <v>0</v>
      </c>
      <c r="I861" s="77">
        <f t="shared" si="134"/>
        <v>100</v>
      </c>
      <c r="L861" s="192"/>
      <c r="M861" s="192"/>
      <c r="N861" s="192"/>
      <c r="O861" s="192"/>
      <c r="P861" s="192"/>
      <c r="Q861" s="192"/>
    </row>
    <row r="862" spans="1:17" s="27" customFormat="1" ht="12.75">
      <c r="A862" s="46" t="s">
        <v>124</v>
      </c>
      <c r="B862" s="13" t="s">
        <v>73</v>
      </c>
      <c r="C862" s="13" t="s">
        <v>66</v>
      </c>
      <c r="D862" s="13" t="s">
        <v>388</v>
      </c>
      <c r="E862" s="13" t="s">
        <v>125</v>
      </c>
      <c r="F862" s="14">
        <f>'пр. 4 Вед'!G924</f>
        <v>904.1</v>
      </c>
      <c r="G862" s="14">
        <f>'пр. 4 Вед'!H924</f>
        <v>904.1</v>
      </c>
      <c r="H862" s="14">
        <f t="shared" si="133"/>
        <v>0</v>
      </c>
      <c r="I862" s="77">
        <f t="shared" si="134"/>
        <v>100</v>
      </c>
      <c r="L862" s="192"/>
      <c r="M862" s="192"/>
      <c r="N862" s="192"/>
      <c r="O862" s="192"/>
      <c r="P862" s="192"/>
      <c r="Q862" s="192"/>
    </row>
    <row r="863" spans="1:17" s="27" customFormat="1" ht="25.5">
      <c r="A863" s="46" t="s">
        <v>355</v>
      </c>
      <c r="B863" s="13" t="s">
        <v>73</v>
      </c>
      <c r="C863" s="13" t="s">
        <v>66</v>
      </c>
      <c r="D863" s="45" t="s">
        <v>222</v>
      </c>
      <c r="E863" s="13"/>
      <c r="F863" s="14">
        <f aca="true" t="shared" si="137" ref="F863:G867">F864</f>
        <v>292.3</v>
      </c>
      <c r="G863" s="14">
        <f t="shared" si="137"/>
        <v>292.3</v>
      </c>
      <c r="H863" s="14">
        <f t="shared" si="133"/>
        <v>0</v>
      </c>
      <c r="I863" s="77">
        <f t="shared" si="134"/>
        <v>100</v>
      </c>
      <c r="L863" s="192"/>
      <c r="M863" s="192"/>
      <c r="N863" s="192"/>
      <c r="O863" s="192"/>
      <c r="P863" s="192"/>
      <c r="Q863" s="192"/>
    </row>
    <row r="864" spans="1:17" s="27" customFormat="1" ht="25.5">
      <c r="A864" s="46" t="s">
        <v>299</v>
      </c>
      <c r="B864" s="13" t="s">
        <v>73</v>
      </c>
      <c r="C864" s="13" t="s">
        <v>66</v>
      </c>
      <c r="D864" s="45" t="s">
        <v>488</v>
      </c>
      <c r="E864" s="13"/>
      <c r="F864" s="14">
        <f t="shared" si="137"/>
        <v>292.3</v>
      </c>
      <c r="G864" s="14">
        <f t="shared" si="137"/>
        <v>292.3</v>
      </c>
      <c r="H864" s="14">
        <f t="shared" si="133"/>
        <v>0</v>
      </c>
      <c r="I864" s="77">
        <f t="shared" si="134"/>
        <v>100</v>
      </c>
      <c r="L864" s="192"/>
      <c r="M864" s="192"/>
      <c r="N864" s="192"/>
      <c r="O864" s="192"/>
      <c r="P864" s="192"/>
      <c r="Q864" s="192"/>
    </row>
    <row r="865" spans="1:17" s="27" customFormat="1" ht="12.75">
      <c r="A865" s="46" t="s">
        <v>232</v>
      </c>
      <c r="B865" s="13" t="s">
        <v>73</v>
      </c>
      <c r="C865" s="13" t="s">
        <v>66</v>
      </c>
      <c r="D865" s="45" t="s">
        <v>489</v>
      </c>
      <c r="E865" s="13"/>
      <c r="F865" s="14">
        <f t="shared" si="137"/>
        <v>292.3</v>
      </c>
      <c r="G865" s="14">
        <f t="shared" si="137"/>
        <v>292.3</v>
      </c>
      <c r="H865" s="14">
        <f t="shared" si="133"/>
        <v>0</v>
      </c>
      <c r="I865" s="77">
        <f t="shared" si="134"/>
        <v>100</v>
      </c>
      <c r="L865" s="192"/>
      <c r="M865" s="192"/>
      <c r="N865" s="192"/>
      <c r="O865" s="192"/>
      <c r="P865" s="192"/>
      <c r="Q865" s="192"/>
    </row>
    <row r="866" spans="1:17" s="27" customFormat="1" ht="25.5">
      <c r="A866" s="46" t="s">
        <v>114</v>
      </c>
      <c r="B866" s="13" t="s">
        <v>73</v>
      </c>
      <c r="C866" s="13" t="s">
        <v>66</v>
      </c>
      <c r="D866" s="45" t="s">
        <v>489</v>
      </c>
      <c r="E866" s="13" t="s">
        <v>115</v>
      </c>
      <c r="F866" s="14">
        <f t="shared" si="137"/>
        <v>292.3</v>
      </c>
      <c r="G866" s="14">
        <f t="shared" si="137"/>
        <v>292.3</v>
      </c>
      <c r="H866" s="14">
        <f t="shared" si="133"/>
        <v>0</v>
      </c>
      <c r="I866" s="77">
        <f t="shared" si="134"/>
        <v>100</v>
      </c>
      <c r="L866" s="192"/>
      <c r="M866" s="192"/>
      <c r="N866" s="192"/>
      <c r="O866" s="192"/>
      <c r="P866" s="192"/>
      <c r="Q866" s="192"/>
    </row>
    <row r="867" spans="1:17" s="27" customFormat="1" ht="12.75">
      <c r="A867" s="46" t="s">
        <v>120</v>
      </c>
      <c r="B867" s="13" t="s">
        <v>73</v>
      </c>
      <c r="C867" s="13" t="s">
        <v>66</v>
      </c>
      <c r="D867" s="45" t="s">
        <v>489</v>
      </c>
      <c r="E867" s="13" t="s">
        <v>121</v>
      </c>
      <c r="F867" s="14">
        <f t="shared" si="137"/>
        <v>292.3</v>
      </c>
      <c r="G867" s="14">
        <f t="shared" si="137"/>
        <v>292.3</v>
      </c>
      <c r="H867" s="14">
        <f t="shared" si="133"/>
        <v>0</v>
      </c>
      <c r="I867" s="77">
        <f t="shared" si="134"/>
        <v>100</v>
      </c>
      <c r="L867" s="192"/>
      <c r="M867" s="192"/>
      <c r="N867" s="192"/>
      <c r="O867" s="192"/>
      <c r="P867" s="192"/>
      <c r="Q867" s="192"/>
    </row>
    <row r="868" spans="1:17" s="27" customFormat="1" ht="12.75">
      <c r="A868" s="46" t="s">
        <v>124</v>
      </c>
      <c r="B868" s="13" t="s">
        <v>73</v>
      </c>
      <c r="C868" s="13" t="s">
        <v>66</v>
      </c>
      <c r="D868" s="45" t="s">
        <v>489</v>
      </c>
      <c r="E868" s="13" t="s">
        <v>125</v>
      </c>
      <c r="F868" s="14">
        <f>'пр. 4 Вед'!G930</f>
        <v>292.3</v>
      </c>
      <c r="G868" s="14">
        <f>'пр. 4 Вед'!H930</f>
        <v>292.3</v>
      </c>
      <c r="H868" s="14">
        <f t="shared" si="133"/>
        <v>0</v>
      </c>
      <c r="I868" s="77">
        <f t="shared" si="134"/>
        <v>100</v>
      </c>
      <c r="L868" s="192"/>
      <c r="M868" s="192"/>
      <c r="N868" s="192"/>
      <c r="O868" s="192"/>
      <c r="P868" s="192"/>
      <c r="Q868" s="192"/>
    </row>
    <row r="869" spans="1:17" s="27" customFormat="1" ht="25.5">
      <c r="A869" s="46" t="s">
        <v>361</v>
      </c>
      <c r="B869" s="13" t="s">
        <v>73</v>
      </c>
      <c r="C869" s="13" t="s">
        <v>66</v>
      </c>
      <c r="D869" s="45" t="s">
        <v>206</v>
      </c>
      <c r="E869" s="13"/>
      <c r="F869" s="14">
        <f>F870</f>
        <v>226.6</v>
      </c>
      <c r="G869" s="14">
        <f>G870</f>
        <v>226.6</v>
      </c>
      <c r="H869" s="14">
        <f t="shared" si="133"/>
        <v>0</v>
      </c>
      <c r="I869" s="77">
        <f t="shared" si="134"/>
        <v>100</v>
      </c>
      <c r="L869" s="192"/>
      <c r="M869" s="192"/>
      <c r="N869" s="192"/>
      <c r="O869" s="192"/>
      <c r="P869" s="192"/>
      <c r="Q869" s="192"/>
    </row>
    <row r="870" spans="1:17" s="27" customFormat="1" ht="25.5">
      <c r="A870" s="46" t="s">
        <v>290</v>
      </c>
      <c r="B870" s="13" t="s">
        <v>73</v>
      </c>
      <c r="C870" s="13" t="s">
        <v>66</v>
      </c>
      <c r="D870" s="45" t="s">
        <v>453</v>
      </c>
      <c r="E870" s="13"/>
      <c r="F870" s="14">
        <f>F871+F875+F879</f>
        <v>226.6</v>
      </c>
      <c r="G870" s="14">
        <f>G871+G875+G879</f>
        <v>226.6</v>
      </c>
      <c r="H870" s="14">
        <f t="shared" si="133"/>
        <v>0</v>
      </c>
      <c r="I870" s="77">
        <f t="shared" si="134"/>
        <v>100</v>
      </c>
      <c r="L870" s="192"/>
      <c r="M870" s="192"/>
      <c r="N870" s="192"/>
      <c r="O870" s="192"/>
      <c r="P870" s="192"/>
      <c r="Q870" s="192"/>
    </row>
    <row r="871" spans="1:17" s="27" customFormat="1" ht="12.75">
      <c r="A871" s="46" t="s">
        <v>205</v>
      </c>
      <c r="B871" s="13" t="s">
        <v>73</v>
      </c>
      <c r="C871" s="13" t="s">
        <v>66</v>
      </c>
      <c r="D871" s="45" t="s">
        <v>454</v>
      </c>
      <c r="E871" s="13"/>
      <c r="F871" s="14">
        <f aca="true" t="shared" si="138" ref="F871:G873">F872</f>
        <v>142.6</v>
      </c>
      <c r="G871" s="14">
        <f t="shared" si="138"/>
        <v>142.6</v>
      </c>
      <c r="H871" s="14">
        <f t="shared" si="133"/>
        <v>0</v>
      </c>
      <c r="I871" s="77">
        <f t="shared" si="134"/>
        <v>100</v>
      </c>
      <c r="L871" s="192"/>
      <c r="M871" s="192"/>
      <c r="N871" s="192"/>
      <c r="O871" s="192"/>
      <c r="P871" s="192"/>
      <c r="Q871" s="192"/>
    </row>
    <row r="872" spans="1:17" s="27" customFormat="1" ht="25.5">
      <c r="A872" s="46" t="s">
        <v>114</v>
      </c>
      <c r="B872" s="13" t="s">
        <v>73</v>
      </c>
      <c r="C872" s="13" t="s">
        <v>66</v>
      </c>
      <c r="D872" s="45" t="s">
        <v>454</v>
      </c>
      <c r="E872" s="13" t="s">
        <v>115</v>
      </c>
      <c r="F872" s="14">
        <f t="shared" si="138"/>
        <v>142.6</v>
      </c>
      <c r="G872" s="14">
        <f t="shared" si="138"/>
        <v>142.6</v>
      </c>
      <c r="H872" s="14">
        <f t="shared" si="133"/>
        <v>0</v>
      </c>
      <c r="I872" s="77">
        <f t="shared" si="134"/>
        <v>100</v>
      </c>
      <c r="L872" s="192"/>
      <c r="M872" s="192"/>
      <c r="N872" s="192"/>
      <c r="O872" s="192"/>
      <c r="P872" s="192"/>
      <c r="Q872" s="192"/>
    </row>
    <row r="873" spans="1:17" s="27" customFormat="1" ht="12.75">
      <c r="A873" s="46" t="s">
        <v>120</v>
      </c>
      <c r="B873" s="13" t="s">
        <v>73</v>
      </c>
      <c r="C873" s="13" t="s">
        <v>66</v>
      </c>
      <c r="D873" s="45" t="s">
        <v>454</v>
      </c>
      <c r="E873" s="13" t="s">
        <v>121</v>
      </c>
      <c r="F873" s="14">
        <f t="shared" si="138"/>
        <v>142.6</v>
      </c>
      <c r="G873" s="14">
        <f t="shared" si="138"/>
        <v>142.6</v>
      </c>
      <c r="H873" s="14">
        <f t="shared" si="133"/>
        <v>0</v>
      </c>
      <c r="I873" s="77">
        <f t="shared" si="134"/>
        <v>100</v>
      </c>
      <c r="L873" s="192"/>
      <c r="M873" s="192"/>
      <c r="N873" s="192"/>
      <c r="O873" s="192"/>
      <c r="P873" s="192"/>
      <c r="Q873" s="192"/>
    </row>
    <row r="874" spans="1:17" s="27" customFormat="1" ht="12.75">
      <c r="A874" s="46" t="s">
        <v>124</v>
      </c>
      <c r="B874" s="13" t="s">
        <v>73</v>
      </c>
      <c r="C874" s="13" t="s">
        <v>66</v>
      </c>
      <c r="D874" s="45" t="s">
        <v>454</v>
      </c>
      <c r="E874" s="13" t="s">
        <v>125</v>
      </c>
      <c r="F874" s="14">
        <f>'пр. 4 Вед'!G936</f>
        <v>142.6</v>
      </c>
      <c r="G874" s="14">
        <f>'пр. 4 Вед'!H936</f>
        <v>142.6</v>
      </c>
      <c r="H874" s="14">
        <f t="shared" si="133"/>
        <v>0</v>
      </c>
      <c r="I874" s="77">
        <f t="shared" si="134"/>
        <v>100</v>
      </c>
      <c r="L874" s="192"/>
      <c r="M874" s="192"/>
      <c r="N874" s="192"/>
      <c r="O874" s="192"/>
      <c r="P874" s="192"/>
      <c r="Q874" s="192"/>
    </row>
    <row r="875" spans="1:17" s="27" customFormat="1" ht="12.75">
      <c r="A875" s="46" t="s">
        <v>213</v>
      </c>
      <c r="B875" s="13" t="s">
        <v>73</v>
      </c>
      <c r="C875" s="13" t="s">
        <v>66</v>
      </c>
      <c r="D875" s="45" t="s">
        <v>461</v>
      </c>
      <c r="E875" s="13"/>
      <c r="F875" s="14">
        <f aca="true" t="shared" si="139" ref="F875:G877">F876</f>
        <v>80</v>
      </c>
      <c r="G875" s="14">
        <f t="shared" si="139"/>
        <v>80</v>
      </c>
      <c r="H875" s="14">
        <f t="shared" si="133"/>
        <v>0</v>
      </c>
      <c r="I875" s="77">
        <f t="shared" si="134"/>
        <v>100</v>
      </c>
      <c r="L875" s="192"/>
      <c r="M875" s="192"/>
      <c r="N875" s="192"/>
      <c r="O875" s="192"/>
      <c r="P875" s="192"/>
      <c r="Q875" s="192"/>
    </row>
    <row r="876" spans="1:17" s="27" customFormat="1" ht="25.5">
      <c r="A876" s="46" t="s">
        <v>114</v>
      </c>
      <c r="B876" s="13" t="s">
        <v>73</v>
      </c>
      <c r="C876" s="13" t="s">
        <v>66</v>
      </c>
      <c r="D876" s="45" t="s">
        <v>461</v>
      </c>
      <c r="E876" s="13" t="s">
        <v>115</v>
      </c>
      <c r="F876" s="14">
        <f t="shared" si="139"/>
        <v>80</v>
      </c>
      <c r="G876" s="14">
        <f t="shared" si="139"/>
        <v>80</v>
      </c>
      <c r="H876" s="14">
        <f t="shared" si="133"/>
        <v>0</v>
      </c>
      <c r="I876" s="77">
        <f t="shared" si="134"/>
        <v>100</v>
      </c>
      <c r="L876" s="192"/>
      <c r="M876" s="192"/>
      <c r="N876" s="192"/>
      <c r="O876" s="192"/>
      <c r="P876" s="192"/>
      <c r="Q876" s="192"/>
    </row>
    <row r="877" spans="1:17" s="27" customFormat="1" ht="12.75">
      <c r="A877" s="46" t="s">
        <v>120</v>
      </c>
      <c r="B877" s="13" t="s">
        <v>73</v>
      </c>
      <c r="C877" s="13" t="s">
        <v>66</v>
      </c>
      <c r="D877" s="45" t="s">
        <v>461</v>
      </c>
      <c r="E877" s="13" t="s">
        <v>121</v>
      </c>
      <c r="F877" s="14">
        <f t="shared" si="139"/>
        <v>80</v>
      </c>
      <c r="G877" s="14">
        <f t="shared" si="139"/>
        <v>80</v>
      </c>
      <c r="H877" s="14">
        <f t="shared" si="133"/>
        <v>0</v>
      </c>
      <c r="I877" s="77">
        <f t="shared" si="134"/>
        <v>100</v>
      </c>
      <c r="L877" s="192"/>
      <c r="M877" s="192"/>
      <c r="N877" s="192"/>
      <c r="O877" s="192"/>
      <c r="P877" s="192"/>
      <c r="Q877" s="192"/>
    </row>
    <row r="878" spans="1:17" s="27" customFormat="1" ht="12.75">
      <c r="A878" s="46" t="s">
        <v>124</v>
      </c>
      <c r="B878" s="13" t="s">
        <v>73</v>
      </c>
      <c r="C878" s="13" t="s">
        <v>66</v>
      </c>
      <c r="D878" s="45" t="s">
        <v>461</v>
      </c>
      <c r="E878" s="13" t="s">
        <v>125</v>
      </c>
      <c r="F878" s="14">
        <f>'пр. 4 Вед'!G940</f>
        <v>80</v>
      </c>
      <c r="G878" s="14">
        <f>'пр. 4 Вед'!H940</f>
        <v>80</v>
      </c>
      <c r="H878" s="14">
        <f t="shared" si="133"/>
        <v>0</v>
      </c>
      <c r="I878" s="77">
        <f t="shared" si="134"/>
        <v>100</v>
      </c>
      <c r="L878" s="192"/>
      <c r="M878" s="192"/>
      <c r="N878" s="192"/>
      <c r="O878" s="192"/>
      <c r="P878" s="192"/>
      <c r="Q878" s="192"/>
    </row>
    <row r="879" spans="1:17" s="27" customFormat="1" ht="12.75">
      <c r="A879" s="46" t="s">
        <v>226</v>
      </c>
      <c r="B879" s="13" t="s">
        <v>73</v>
      </c>
      <c r="C879" s="13" t="s">
        <v>66</v>
      </c>
      <c r="D879" s="45" t="s">
        <v>480</v>
      </c>
      <c r="E879" s="13"/>
      <c r="F879" s="14">
        <f aca="true" t="shared" si="140" ref="F879:G881">F880</f>
        <v>4</v>
      </c>
      <c r="G879" s="14">
        <f t="shared" si="140"/>
        <v>4</v>
      </c>
      <c r="H879" s="14">
        <f t="shared" si="133"/>
        <v>0</v>
      </c>
      <c r="I879" s="77">
        <f t="shared" si="134"/>
        <v>100</v>
      </c>
      <c r="L879" s="192"/>
      <c r="M879" s="192"/>
      <c r="N879" s="192"/>
      <c r="O879" s="192"/>
      <c r="P879" s="192"/>
      <c r="Q879" s="192"/>
    </row>
    <row r="880" spans="1:17" s="27" customFormat="1" ht="25.5">
      <c r="A880" s="46" t="s">
        <v>114</v>
      </c>
      <c r="B880" s="13" t="s">
        <v>73</v>
      </c>
      <c r="C880" s="13" t="s">
        <v>66</v>
      </c>
      <c r="D880" s="45" t="s">
        <v>480</v>
      </c>
      <c r="E880" s="13" t="s">
        <v>115</v>
      </c>
      <c r="F880" s="14">
        <f t="shared" si="140"/>
        <v>4</v>
      </c>
      <c r="G880" s="14">
        <f t="shared" si="140"/>
        <v>4</v>
      </c>
      <c r="H880" s="14">
        <f t="shared" si="133"/>
        <v>0</v>
      </c>
      <c r="I880" s="77">
        <f t="shared" si="134"/>
        <v>100</v>
      </c>
      <c r="L880" s="192"/>
      <c r="M880" s="192"/>
      <c r="N880" s="192"/>
      <c r="O880" s="192"/>
      <c r="P880" s="192"/>
      <c r="Q880" s="192"/>
    </row>
    <row r="881" spans="1:17" s="27" customFormat="1" ht="12.75">
      <c r="A881" s="46" t="s">
        <v>120</v>
      </c>
      <c r="B881" s="13" t="s">
        <v>73</v>
      </c>
      <c r="C881" s="13" t="s">
        <v>66</v>
      </c>
      <c r="D881" s="45" t="s">
        <v>480</v>
      </c>
      <c r="E881" s="13" t="s">
        <v>121</v>
      </c>
      <c r="F881" s="14">
        <f t="shared" si="140"/>
        <v>4</v>
      </c>
      <c r="G881" s="14">
        <f t="shared" si="140"/>
        <v>4</v>
      </c>
      <c r="H881" s="14">
        <f t="shared" si="133"/>
        <v>0</v>
      </c>
      <c r="I881" s="77">
        <f t="shared" si="134"/>
        <v>100</v>
      </c>
      <c r="L881" s="192"/>
      <c r="M881" s="192"/>
      <c r="N881" s="192"/>
      <c r="O881" s="192"/>
      <c r="P881" s="192"/>
      <c r="Q881" s="192"/>
    </row>
    <row r="882" spans="1:17" s="27" customFormat="1" ht="12.75">
      <c r="A882" s="46" t="s">
        <v>124</v>
      </c>
      <c r="B882" s="13" t="s">
        <v>73</v>
      </c>
      <c r="C882" s="13" t="s">
        <v>66</v>
      </c>
      <c r="D882" s="45" t="s">
        <v>480</v>
      </c>
      <c r="E882" s="13" t="s">
        <v>125</v>
      </c>
      <c r="F882" s="14">
        <f>'пр. 4 Вед'!G944</f>
        <v>4</v>
      </c>
      <c r="G882" s="14">
        <f>'пр. 4 Вед'!H944</f>
        <v>4</v>
      </c>
      <c r="H882" s="14">
        <f t="shared" si="133"/>
        <v>0</v>
      </c>
      <c r="I882" s="77">
        <f t="shared" si="134"/>
        <v>100</v>
      </c>
      <c r="L882" s="192"/>
      <c r="M882" s="192"/>
      <c r="N882" s="192"/>
      <c r="O882" s="192"/>
      <c r="P882" s="192"/>
      <c r="Q882" s="192"/>
    </row>
    <row r="883" spans="1:17" s="27" customFormat="1" ht="25.5">
      <c r="A883" s="25" t="s">
        <v>366</v>
      </c>
      <c r="B883" s="13" t="s">
        <v>73</v>
      </c>
      <c r="C883" s="13" t="s">
        <v>66</v>
      </c>
      <c r="D883" s="45" t="s">
        <v>234</v>
      </c>
      <c r="E883" s="13"/>
      <c r="F883" s="14">
        <f>F884</f>
        <v>183.1</v>
      </c>
      <c r="G883" s="14">
        <f>G884</f>
        <v>183.1</v>
      </c>
      <c r="H883" s="14">
        <f t="shared" si="133"/>
        <v>0</v>
      </c>
      <c r="I883" s="77">
        <f t="shared" si="134"/>
        <v>100</v>
      </c>
      <c r="L883" s="192"/>
      <c r="M883" s="192"/>
      <c r="N883" s="192"/>
      <c r="O883" s="192"/>
      <c r="P883" s="192"/>
      <c r="Q883" s="192"/>
    </row>
    <row r="884" spans="1:17" s="27" customFormat="1" ht="25.5">
      <c r="A884" s="9" t="s">
        <v>703</v>
      </c>
      <c r="B884" s="13" t="s">
        <v>73</v>
      </c>
      <c r="C884" s="13" t="s">
        <v>66</v>
      </c>
      <c r="D884" s="45" t="s">
        <v>704</v>
      </c>
      <c r="E884" s="13"/>
      <c r="F884" s="14">
        <f>F889+F893+F885</f>
        <v>183.1</v>
      </c>
      <c r="G884" s="14">
        <f>G889+G893+G885</f>
        <v>183.1</v>
      </c>
      <c r="H884" s="14">
        <f t="shared" si="133"/>
        <v>0</v>
      </c>
      <c r="I884" s="77">
        <f t="shared" si="134"/>
        <v>100</v>
      </c>
      <c r="L884" s="192"/>
      <c r="M884" s="192"/>
      <c r="N884" s="192"/>
      <c r="O884" s="192"/>
      <c r="P884" s="192"/>
      <c r="Q884" s="192"/>
    </row>
    <row r="885" spans="1:17" s="27" customFormat="1" ht="25.5">
      <c r="A885" s="9" t="s">
        <v>723</v>
      </c>
      <c r="B885" s="13" t="s">
        <v>73</v>
      </c>
      <c r="C885" s="13" t="s">
        <v>66</v>
      </c>
      <c r="D885" s="47" t="s">
        <v>710</v>
      </c>
      <c r="E885" s="13"/>
      <c r="F885" s="14">
        <f aca="true" t="shared" si="141" ref="F885:G887">F886</f>
        <v>2.4</v>
      </c>
      <c r="G885" s="14">
        <f t="shared" si="141"/>
        <v>2.4</v>
      </c>
      <c r="H885" s="14">
        <f t="shared" si="133"/>
        <v>0</v>
      </c>
      <c r="I885" s="77">
        <f t="shared" si="134"/>
        <v>100</v>
      </c>
      <c r="L885" s="192"/>
      <c r="M885" s="192"/>
      <c r="N885" s="192"/>
      <c r="O885" s="192"/>
      <c r="P885" s="192"/>
      <c r="Q885" s="192"/>
    </row>
    <row r="886" spans="1:17" s="27" customFormat="1" ht="25.5">
      <c r="A886" s="9" t="s">
        <v>114</v>
      </c>
      <c r="B886" s="13" t="s">
        <v>73</v>
      </c>
      <c r="C886" s="13" t="s">
        <v>66</v>
      </c>
      <c r="D886" s="47" t="s">
        <v>710</v>
      </c>
      <c r="E886" s="13" t="s">
        <v>115</v>
      </c>
      <c r="F886" s="14">
        <f t="shared" si="141"/>
        <v>2.4</v>
      </c>
      <c r="G886" s="14">
        <f t="shared" si="141"/>
        <v>2.4</v>
      </c>
      <c r="H886" s="14">
        <f t="shared" si="133"/>
        <v>0</v>
      </c>
      <c r="I886" s="77">
        <f t="shared" si="134"/>
        <v>100</v>
      </c>
      <c r="L886" s="192"/>
      <c r="M886" s="192"/>
      <c r="N886" s="192"/>
      <c r="O886" s="192"/>
      <c r="P886" s="192"/>
      <c r="Q886" s="192"/>
    </row>
    <row r="887" spans="1:17" s="27" customFormat="1" ht="12.75">
      <c r="A887" s="9" t="s">
        <v>120</v>
      </c>
      <c r="B887" s="13" t="s">
        <v>73</v>
      </c>
      <c r="C887" s="13" t="s">
        <v>66</v>
      </c>
      <c r="D887" s="47" t="s">
        <v>710</v>
      </c>
      <c r="E887" s="13" t="s">
        <v>121</v>
      </c>
      <c r="F887" s="14">
        <f t="shared" si="141"/>
        <v>2.4</v>
      </c>
      <c r="G887" s="14">
        <f t="shared" si="141"/>
        <v>2.4</v>
      </c>
      <c r="H887" s="14">
        <f t="shared" si="133"/>
        <v>0</v>
      </c>
      <c r="I887" s="77">
        <f t="shared" si="134"/>
        <v>100</v>
      </c>
      <c r="L887" s="192"/>
      <c r="M887" s="192"/>
      <c r="N887" s="192"/>
      <c r="O887" s="192"/>
      <c r="P887" s="192"/>
      <c r="Q887" s="192"/>
    </row>
    <row r="888" spans="1:17" s="27" customFormat="1" ht="12.75">
      <c r="A888" s="9" t="s">
        <v>124</v>
      </c>
      <c r="B888" s="13" t="s">
        <v>73</v>
      </c>
      <c r="C888" s="13" t="s">
        <v>66</v>
      </c>
      <c r="D888" s="47" t="s">
        <v>710</v>
      </c>
      <c r="E888" s="13" t="s">
        <v>125</v>
      </c>
      <c r="F888" s="14">
        <f>'пр. 4 Вед'!G950</f>
        <v>2.4</v>
      </c>
      <c r="G888" s="14">
        <f>'пр. 4 Вед'!H950</f>
        <v>2.4</v>
      </c>
      <c r="H888" s="14">
        <f t="shared" si="133"/>
        <v>0</v>
      </c>
      <c r="I888" s="77">
        <f t="shared" si="134"/>
        <v>100</v>
      </c>
      <c r="L888" s="192"/>
      <c r="M888" s="192"/>
      <c r="N888" s="192"/>
      <c r="O888" s="192"/>
      <c r="P888" s="192"/>
      <c r="Q888" s="192"/>
    </row>
    <row r="889" spans="1:17" s="27" customFormat="1" ht="25.5">
      <c r="A889" s="9" t="s">
        <v>705</v>
      </c>
      <c r="B889" s="13" t="s">
        <v>73</v>
      </c>
      <c r="C889" s="13" t="s">
        <v>66</v>
      </c>
      <c r="D889" s="13" t="s">
        <v>706</v>
      </c>
      <c r="E889" s="13"/>
      <c r="F889" s="14">
        <f aca="true" t="shared" si="142" ref="F889:G891">F890</f>
        <v>170.7</v>
      </c>
      <c r="G889" s="14">
        <f t="shared" si="142"/>
        <v>170.7</v>
      </c>
      <c r="H889" s="14">
        <f t="shared" si="133"/>
        <v>0</v>
      </c>
      <c r="I889" s="77">
        <f t="shared" si="134"/>
        <v>100</v>
      </c>
      <c r="L889" s="192"/>
      <c r="M889" s="192"/>
      <c r="N889" s="192"/>
      <c r="O889" s="192"/>
      <c r="P889" s="192"/>
      <c r="Q889" s="192"/>
    </row>
    <row r="890" spans="1:17" s="27" customFormat="1" ht="25.5">
      <c r="A890" s="9" t="s">
        <v>114</v>
      </c>
      <c r="B890" s="13" t="s">
        <v>73</v>
      </c>
      <c r="C890" s="13" t="s">
        <v>66</v>
      </c>
      <c r="D890" s="13" t="s">
        <v>706</v>
      </c>
      <c r="E890" s="13" t="s">
        <v>115</v>
      </c>
      <c r="F890" s="14">
        <f t="shared" si="142"/>
        <v>170.7</v>
      </c>
      <c r="G890" s="14">
        <f t="shared" si="142"/>
        <v>170.7</v>
      </c>
      <c r="H890" s="14">
        <f t="shared" si="133"/>
        <v>0</v>
      </c>
      <c r="I890" s="77">
        <f t="shared" si="134"/>
        <v>100</v>
      </c>
      <c r="L890" s="192"/>
      <c r="M890" s="192"/>
      <c r="N890" s="192"/>
      <c r="O890" s="192"/>
      <c r="P890" s="192"/>
      <c r="Q890" s="192"/>
    </row>
    <row r="891" spans="1:17" s="27" customFormat="1" ht="12.75">
      <c r="A891" s="9" t="s">
        <v>120</v>
      </c>
      <c r="B891" s="13" t="s">
        <v>73</v>
      </c>
      <c r="C891" s="13" t="s">
        <v>66</v>
      </c>
      <c r="D891" s="13" t="s">
        <v>706</v>
      </c>
      <c r="E891" s="13" t="s">
        <v>121</v>
      </c>
      <c r="F891" s="14">
        <f t="shared" si="142"/>
        <v>170.7</v>
      </c>
      <c r="G891" s="14">
        <f t="shared" si="142"/>
        <v>170.7</v>
      </c>
      <c r="H891" s="14">
        <f t="shared" si="133"/>
        <v>0</v>
      </c>
      <c r="I891" s="77">
        <f t="shared" si="134"/>
        <v>100</v>
      </c>
      <c r="L891" s="192"/>
      <c r="M891" s="192"/>
      <c r="N891" s="192"/>
      <c r="O891" s="192"/>
      <c r="P891" s="192"/>
      <c r="Q891" s="192"/>
    </row>
    <row r="892" spans="1:17" s="27" customFormat="1" ht="12.75">
      <c r="A892" s="9" t="s">
        <v>124</v>
      </c>
      <c r="B892" s="13" t="s">
        <v>73</v>
      </c>
      <c r="C892" s="13" t="s">
        <v>66</v>
      </c>
      <c r="D892" s="13" t="s">
        <v>706</v>
      </c>
      <c r="E892" s="13" t="s">
        <v>125</v>
      </c>
      <c r="F892" s="14">
        <f>'пр. 4 Вед'!G954</f>
        <v>170.7</v>
      </c>
      <c r="G892" s="14">
        <f>'пр. 4 Вед'!H954</f>
        <v>170.7</v>
      </c>
      <c r="H892" s="14">
        <f t="shared" si="133"/>
        <v>0</v>
      </c>
      <c r="I892" s="77">
        <f t="shared" si="134"/>
        <v>100</v>
      </c>
      <c r="L892" s="192"/>
      <c r="M892" s="192"/>
      <c r="N892" s="192"/>
      <c r="O892" s="192"/>
      <c r="P892" s="192"/>
      <c r="Q892" s="192"/>
    </row>
    <row r="893" spans="1:17" s="27" customFormat="1" ht="25.5">
      <c r="A893" s="9" t="s">
        <v>707</v>
      </c>
      <c r="B893" s="13" t="s">
        <v>73</v>
      </c>
      <c r="C893" s="13" t="s">
        <v>66</v>
      </c>
      <c r="D893" s="13" t="s">
        <v>708</v>
      </c>
      <c r="E893" s="13"/>
      <c r="F893" s="14">
        <f aca="true" t="shared" si="143" ref="F893:G895">F894</f>
        <v>10</v>
      </c>
      <c r="G893" s="14">
        <f t="shared" si="143"/>
        <v>10</v>
      </c>
      <c r="H893" s="14">
        <f t="shared" si="133"/>
        <v>0</v>
      </c>
      <c r="I893" s="77">
        <f t="shared" si="134"/>
        <v>100</v>
      </c>
      <c r="L893" s="192"/>
      <c r="M893" s="192"/>
      <c r="N893" s="192"/>
      <c r="O893" s="192"/>
      <c r="P893" s="192"/>
      <c r="Q893" s="192"/>
    </row>
    <row r="894" spans="1:17" s="27" customFormat="1" ht="25.5">
      <c r="A894" s="9" t="s">
        <v>114</v>
      </c>
      <c r="B894" s="13" t="s">
        <v>73</v>
      </c>
      <c r="C894" s="13" t="s">
        <v>66</v>
      </c>
      <c r="D894" s="13" t="s">
        <v>708</v>
      </c>
      <c r="E894" s="13" t="s">
        <v>115</v>
      </c>
      <c r="F894" s="14">
        <f t="shared" si="143"/>
        <v>10</v>
      </c>
      <c r="G894" s="14">
        <f t="shared" si="143"/>
        <v>10</v>
      </c>
      <c r="H894" s="14">
        <f t="shared" si="133"/>
        <v>0</v>
      </c>
      <c r="I894" s="77">
        <f t="shared" si="134"/>
        <v>100</v>
      </c>
      <c r="L894" s="192"/>
      <c r="M894" s="192"/>
      <c r="N894" s="192"/>
      <c r="O894" s="192"/>
      <c r="P894" s="192"/>
      <c r="Q894" s="192"/>
    </row>
    <row r="895" spans="1:17" s="27" customFormat="1" ht="12.75">
      <c r="A895" s="9" t="s">
        <v>120</v>
      </c>
      <c r="B895" s="13" t="s">
        <v>73</v>
      </c>
      <c r="C895" s="13" t="s">
        <v>66</v>
      </c>
      <c r="D895" s="13" t="s">
        <v>708</v>
      </c>
      <c r="E895" s="13" t="s">
        <v>121</v>
      </c>
      <c r="F895" s="14">
        <f t="shared" si="143"/>
        <v>10</v>
      </c>
      <c r="G895" s="14">
        <f t="shared" si="143"/>
        <v>10</v>
      </c>
      <c r="H895" s="14">
        <f t="shared" si="133"/>
        <v>0</v>
      </c>
      <c r="I895" s="77">
        <f t="shared" si="134"/>
        <v>100</v>
      </c>
      <c r="L895" s="192"/>
      <c r="M895" s="192"/>
      <c r="N895" s="192"/>
      <c r="O895" s="192"/>
      <c r="P895" s="192"/>
      <c r="Q895" s="192"/>
    </row>
    <row r="896" spans="1:17" s="27" customFormat="1" ht="12.75">
      <c r="A896" s="9" t="s">
        <v>124</v>
      </c>
      <c r="B896" s="13" t="s">
        <v>73</v>
      </c>
      <c r="C896" s="13" t="s">
        <v>66</v>
      </c>
      <c r="D896" s="13" t="s">
        <v>708</v>
      </c>
      <c r="E896" s="13" t="s">
        <v>125</v>
      </c>
      <c r="F896" s="14">
        <f>'пр. 4 Вед'!G958</f>
        <v>10</v>
      </c>
      <c r="G896" s="14">
        <f>'пр. 4 Вед'!H958</f>
        <v>10</v>
      </c>
      <c r="H896" s="14">
        <f t="shared" si="133"/>
        <v>0</v>
      </c>
      <c r="I896" s="77">
        <f t="shared" si="134"/>
        <v>100</v>
      </c>
      <c r="L896" s="192"/>
      <c r="M896" s="192"/>
      <c r="N896" s="192"/>
      <c r="O896" s="192"/>
      <c r="P896" s="192"/>
      <c r="Q896" s="192"/>
    </row>
    <row r="897" spans="1:17" s="27" customFormat="1" ht="12.75">
      <c r="A897" s="46" t="s">
        <v>503</v>
      </c>
      <c r="B897" s="13" t="s">
        <v>73</v>
      </c>
      <c r="C897" s="13" t="s">
        <v>66</v>
      </c>
      <c r="D897" s="13" t="s">
        <v>252</v>
      </c>
      <c r="E897" s="13"/>
      <c r="F897" s="14">
        <f>F898</f>
        <v>655.1999999999999</v>
      </c>
      <c r="G897" s="14">
        <f>G898</f>
        <v>655.1999999999999</v>
      </c>
      <c r="H897" s="14">
        <f t="shared" si="133"/>
        <v>0</v>
      </c>
      <c r="I897" s="77">
        <f t="shared" si="134"/>
        <v>100</v>
      </c>
      <c r="L897" s="192"/>
      <c r="M897" s="192"/>
      <c r="N897" s="192"/>
      <c r="O897" s="192"/>
      <c r="P897" s="192"/>
      <c r="Q897" s="192"/>
    </row>
    <row r="898" spans="1:17" s="27" customFormat="1" ht="12.75">
      <c r="A898" s="46" t="s">
        <v>504</v>
      </c>
      <c r="B898" s="13" t="s">
        <v>73</v>
      </c>
      <c r="C898" s="13" t="s">
        <v>66</v>
      </c>
      <c r="D898" s="13" t="s">
        <v>501</v>
      </c>
      <c r="E898" s="13"/>
      <c r="F898" s="14">
        <f>F899+F903</f>
        <v>655.1999999999999</v>
      </c>
      <c r="G898" s="14">
        <f>G899+G903</f>
        <v>655.1999999999999</v>
      </c>
      <c r="H898" s="14">
        <f t="shared" si="133"/>
        <v>0</v>
      </c>
      <c r="I898" s="77">
        <f t="shared" si="134"/>
        <v>100</v>
      </c>
      <c r="L898" s="192"/>
      <c r="M898" s="192"/>
      <c r="N898" s="192"/>
      <c r="O898" s="192"/>
      <c r="P898" s="192"/>
      <c r="Q898" s="192"/>
    </row>
    <row r="899" spans="1:17" s="27" customFormat="1" ht="38.25">
      <c r="A899" s="46" t="s">
        <v>271</v>
      </c>
      <c r="B899" s="13" t="s">
        <v>73</v>
      </c>
      <c r="C899" s="13" t="s">
        <v>66</v>
      </c>
      <c r="D899" s="13" t="s">
        <v>502</v>
      </c>
      <c r="E899" s="13"/>
      <c r="F899" s="14">
        <f aca="true" t="shared" si="144" ref="F899:G901">F900</f>
        <v>616.3</v>
      </c>
      <c r="G899" s="14">
        <f t="shared" si="144"/>
        <v>616.3</v>
      </c>
      <c r="H899" s="14">
        <f t="shared" si="133"/>
        <v>0</v>
      </c>
      <c r="I899" s="77">
        <f t="shared" si="134"/>
        <v>100</v>
      </c>
      <c r="L899" s="192"/>
      <c r="M899" s="192"/>
      <c r="N899" s="192"/>
      <c r="O899" s="192"/>
      <c r="P899" s="192"/>
      <c r="Q899" s="192"/>
    </row>
    <row r="900" spans="1:17" s="27" customFormat="1" ht="25.5">
      <c r="A900" s="46" t="s">
        <v>114</v>
      </c>
      <c r="B900" s="13" t="s">
        <v>73</v>
      </c>
      <c r="C900" s="13" t="s">
        <v>66</v>
      </c>
      <c r="D900" s="13" t="s">
        <v>502</v>
      </c>
      <c r="E900" s="13" t="s">
        <v>115</v>
      </c>
      <c r="F900" s="14">
        <f t="shared" si="144"/>
        <v>616.3</v>
      </c>
      <c r="G900" s="14">
        <f t="shared" si="144"/>
        <v>616.3</v>
      </c>
      <c r="H900" s="14">
        <f t="shared" si="133"/>
        <v>0</v>
      </c>
      <c r="I900" s="77">
        <f t="shared" si="134"/>
        <v>100</v>
      </c>
      <c r="L900" s="192"/>
      <c r="M900" s="192"/>
      <c r="N900" s="192"/>
      <c r="O900" s="192"/>
      <c r="P900" s="192"/>
      <c r="Q900" s="192"/>
    </row>
    <row r="901" spans="1:17" s="27" customFormat="1" ht="12.75">
      <c r="A901" s="46" t="s">
        <v>120</v>
      </c>
      <c r="B901" s="13" t="s">
        <v>73</v>
      </c>
      <c r="C901" s="13" t="s">
        <v>66</v>
      </c>
      <c r="D901" s="13" t="s">
        <v>502</v>
      </c>
      <c r="E901" s="13" t="s">
        <v>121</v>
      </c>
      <c r="F901" s="14">
        <f t="shared" si="144"/>
        <v>616.3</v>
      </c>
      <c r="G901" s="14">
        <f t="shared" si="144"/>
        <v>616.3</v>
      </c>
      <c r="H901" s="14">
        <f t="shared" si="133"/>
        <v>0</v>
      </c>
      <c r="I901" s="77">
        <f t="shared" si="134"/>
        <v>100</v>
      </c>
      <c r="L901" s="192"/>
      <c r="M901" s="192"/>
      <c r="N901" s="192"/>
      <c r="O901" s="192"/>
      <c r="P901" s="192"/>
      <c r="Q901" s="192"/>
    </row>
    <row r="902" spans="1:17" s="27" customFormat="1" ht="12.75">
      <c r="A902" s="46" t="s">
        <v>124</v>
      </c>
      <c r="B902" s="13" t="s">
        <v>73</v>
      </c>
      <c r="C902" s="13" t="s">
        <v>66</v>
      </c>
      <c r="D902" s="13" t="s">
        <v>502</v>
      </c>
      <c r="E902" s="13" t="s">
        <v>125</v>
      </c>
      <c r="F902" s="14">
        <f>'пр. 4 Вед'!G964</f>
        <v>616.3</v>
      </c>
      <c r="G902" s="14">
        <f>'пр. 4 Вед'!H964</f>
        <v>616.3</v>
      </c>
      <c r="H902" s="14">
        <f t="shared" si="133"/>
        <v>0</v>
      </c>
      <c r="I902" s="77">
        <f t="shared" si="134"/>
        <v>100</v>
      </c>
      <c r="L902" s="192"/>
      <c r="M902" s="192"/>
      <c r="N902" s="192"/>
      <c r="O902" s="192"/>
      <c r="P902" s="192"/>
      <c r="Q902" s="192"/>
    </row>
    <row r="903" spans="1:17" s="27" customFormat="1" ht="12.75">
      <c r="A903" s="46" t="s">
        <v>272</v>
      </c>
      <c r="B903" s="13" t="s">
        <v>73</v>
      </c>
      <c r="C903" s="13" t="s">
        <v>66</v>
      </c>
      <c r="D903" s="13" t="s">
        <v>505</v>
      </c>
      <c r="E903" s="13"/>
      <c r="F903" s="14">
        <f aca="true" t="shared" si="145" ref="F903:G905">F904</f>
        <v>38.9</v>
      </c>
      <c r="G903" s="14">
        <f t="shared" si="145"/>
        <v>38.9</v>
      </c>
      <c r="H903" s="14">
        <f t="shared" si="133"/>
        <v>0</v>
      </c>
      <c r="I903" s="77">
        <f t="shared" si="134"/>
        <v>100</v>
      </c>
      <c r="L903" s="192"/>
      <c r="M903" s="192"/>
      <c r="N903" s="192"/>
      <c r="O903" s="192"/>
      <c r="P903" s="192"/>
      <c r="Q903" s="192"/>
    </row>
    <row r="904" spans="1:17" s="27" customFormat="1" ht="25.5">
      <c r="A904" s="46" t="s">
        <v>114</v>
      </c>
      <c r="B904" s="13" t="s">
        <v>73</v>
      </c>
      <c r="C904" s="13" t="s">
        <v>66</v>
      </c>
      <c r="D904" s="13" t="s">
        <v>505</v>
      </c>
      <c r="E904" s="13" t="s">
        <v>115</v>
      </c>
      <c r="F904" s="14">
        <f t="shared" si="145"/>
        <v>38.9</v>
      </c>
      <c r="G904" s="14">
        <f t="shared" si="145"/>
        <v>38.9</v>
      </c>
      <c r="H904" s="14">
        <f t="shared" si="133"/>
        <v>0</v>
      </c>
      <c r="I904" s="77">
        <f t="shared" si="134"/>
        <v>100</v>
      </c>
      <c r="L904" s="192"/>
      <c r="M904" s="192"/>
      <c r="N904" s="192"/>
      <c r="O904" s="192"/>
      <c r="P904" s="192"/>
      <c r="Q904" s="192"/>
    </row>
    <row r="905" spans="1:17" s="27" customFormat="1" ht="12.75">
      <c r="A905" s="46" t="s">
        <v>120</v>
      </c>
      <c r="B905" s="13" t="s">
        <v>73</v>
      </c>
      <c r="C905" s="13" t="s">
        <v>66</v>
      </c>
      <c r="D905" s="13" t="s">
        <v>505</v>
      </c>
      <c r="E905" s="13" t="s">
        <v>121</v>
      </c>
      <c r="F905" s="14">
        <f t="shared" si="145"/>
        <v>38.9</v>
      </c>
      <c r="G905" s="14">
        <f t="shared" si="145"/>
        <v>38.9</v>
      </c>
      <c r="H905" s="14">
        <f aca="true" t="shared" si="146" ref="H905:H968">F905-G905</f>
        <v>0</v>
      </c>
      <c r="I905" s="77">
        <f aca="true" t="shared" si="147" ref="I905:I968">G905/F905*100</f>
        <v>100</v>
      </c>
      <c r="L905" s="192"/>
      <c r="M905" s="192"/>
      <c r="N905" s="192"/>
      <c r="O905" s="192"/>
      <c r="P905" s="192"/>
      <c r="Q905" s="192"/>
    </row>
    <row r="906" spans="1:17" s="27" customFormat="1" ht="12.75">
      <c r="A906" s="46" t="s">
        <v>124</v>
      </c>
      <c r="B906" s="13" t="s">
        <v>73</v>
      </c>
      <c r="C906" s="13" t="s">
        <v>66</v>
      </c>
      <c r="D906" s="13" t="s">
        <v>505</v>
      </c>
      <c r="E906" s="13" t="s">
        <v>125</v>
      </c>
      <c r="F906" s="14">
        <f>'пр. 4 Вед'!G968</f>
        <v>38.9</v>
      </c>
      <c r="G906" s="14">
        <f>'пр. 4 Вед'!H968</f>
        <v>38.9</v>
      </c>
      <c r="H906" s="14">
        <f t="shared" si="146"/>
        <v>0</v>
      </c>
      <c r="I906" s="77">
        <f t="shared" si="147"/>
        <v>100</v>
      </c>
      <c r="L906" s="192"/>
      <c r="M906" s="192"/>
      <c r="N906" s="192"/>
      <c r="O906" s="192"/>
      <c r="P906" s="192"/>
      <c r="Q906" s="192"/>
    </row>
    <row r="907" spans="1:17" s="27" customFormat="1" ht="12.75">
      <c r="A907" s="46" t="s">
        <v>345</v>
      </c>
      <c r="B907" s="13" t="s">
        <v>73</v>
      </c>
      <c r="C907" s="13" t="s">
        <v>66</v>
      </c>
      <c r="D907" s="13" t="s">
        <v>249</v>
      </c>
      <c r="E907" s="13"/>
      <c r="F907" s="14">
        <f>F908</f>
        <v>14574</v>
      </c>
      <c r="G907" s="14">
        <f>G908</f>
        <v>14560.9</v>
      </c>
      <c r="H907" s="14">
        <f t="shared" si="146"/>
        <v>13.100000000000364</v>
      </c>
      <c r="I907" s="77">
        <f t="shared" si="147"/>
        <v>99.91011390146836</v>
      </c>
      <c r="L907" s="192"/>
      <c r="M907" s="192"/>
      <c r="N907" s="192"/>
      <c r="O907" s="192"/>
      <c r="P907" s="192"/>
      <c r="Q907" s="192"/>
    </row>
    <row r="908" spans="1:17" s="27" customFormat="1" ht="25.5">
      <c r="A908" s="46" t="s">
        <v>289</v>
      </c>
      <c r="B908" s="13" t="s">
        <v>73</v>
      </c>
      <c r="C908" s="13" t="s">
        <v>66</v>
      </c>
      <c r="D908" s="13" t="s">
        <v>521</v>
      </c>
      <c r="E908" s="13"/>
      <c r="F908" s="14">
        <f>F910</f>
        <v>14574</v>
      </c>
      <c r="G908" s="14">
        <f>G910</f>
        <v>14560.9</v>
      </c>
      <c r="H908" s="14">
        <f t="shared" si="146"/>
        <v>13.100000000000364</v>
      </c>
      <c r="I908" s="77">
        <f t="shared" si="147"/>
        <v>99.91011390146836</v>
      </c>
      <c r="L908" s="192"/>
      <c r="M908" s="192"/>
      <c r="N908" s="192"/>
      <c r="O908" s="192"/>
      <c r="P908" s="192"/>
      <c r="Q908" s="192"/>
    </row>
    <row r="909" spans="1:17" s="27" customFormat="1" ht="12.75">
      <c r="A909" s="46" t="s">
        <v>288</v>
      </c>
      <c r="B909" s="13" t="s">
        <v>73</v>
      </c>
      <c r="C909" s="13" t="s">
        <v>66</v>
      </c>
      <c r="D909" s="13" t="s">
        <v>522</v>
      </c>
      <c r="E909" s="13"/>
      <c r="F909" s="14">
        <f>F910</f>
        <v>14574</v>
      </c>
      <c r="G909" s="14">
        <f>G910</f>
        <v>14560.9</v>
      </c>
      <c r="H909" s="14">
        <f t="shared" si="146"/>
        <v>13.100000000000364</v>
      </c>
      <c r="I909" s="77">
        <f t="shared" si="147"/>
        <v>99.91011390146836</v>
      </c>
      <c r="L909" s="192"/>
      <c r="M909" s="192"/>
      <c r="N909" s="192"/>
      <c r="O909" s="192"/>
      <c r="P909" s="192"/>
      <c r="Q909" s="192"/>
    </row>
    <row r="910" spans="1:17" s="27" customFormat="1" ht="25.5">
      <c r="A910" s="46" t="s">
        <v>114</v>
      </c>
      <c r="B910" s="13" t="s">
        <v>73</v>
      </c>
      <c r="C910" s="13" t="s">
        <v>66</v>
      </c>
      <c r="D910" s="13" t="s">
        <v>522</v>
      </c>
      <c r="E910" s="13" t="s">
        <v>115</v>
      </c>
      <c r="F910" s="14">
        <f>F911</f>
        <v>14574</v>
      </c>
      <c r="G910" s="14">
        <f>G911</f>
        <v>14560.9</v>
      </c>
      <c r="H910" s="14">
        <f t="shared" si="146"/>
        <v>13.100000000000364</v>
      </c>
      <c r="I910" s="77">
        <f t="shared" si="147"/>
        <v>99.91011390146836</v>
      </c>
      <c r="L910" s="192"/>
      <c r="M910" s="192"/>
      <c r="N910" s="192"/>
      <c r="O910" s="192"/>
      <c r="P910" s="192"/>
      <c r="Q910" s="192"/>
    </row>
    <row r="911" spans="1:17" s="27" customFormat="1" ht="12.75">
      <c r="A911" s="46" t="s">
        <v>120</v>
      </c>
      <c r="B911" s="13" t="s">
        <v>73</v>
      </c>
      <c r="C911" s="13" t="s">
        <v>66</v>
      </c>
      <c r="D911" s="13" t="s">
        <v>522</v>
      </c>
      <c r="E911" s="13" t="s">
        <v>121</v>
      </c>
      <c r="F911" s="14">
        <f>F912+F913</f>
        <v>14574</v>
      </c>
      <c r="G911" s="14">
        <f>G912+G913</f>
        <v>14560.9</v>
      </c>
      <c r="H911" s="14">
        <f t="shared" si="146"/>
        <v>13.100000000000364</v>
      </c>
      <c r="I911" s="77">
        <f t="shared" si="147"/>
        <v>99.91011390146836</v>
      </c>
      <c r="L911" s="192"/>
      <c r="M911" s="192"/>
      <c r="N911" s="192"/>
      <c r="O911" s="192"/>
      <c r="P911" s="192"/>
      <c r="Q911" s="192"/>
    </row>
    <row r="912" spans="1:17" s="27" customFormat="1" ht="38.25">
      <c r="A912" s="46" t="s">
        <v>122</v>
      </c>
      <c r="B912" s="13" t="s">
        <v>73</v>
      </c>
      <c r="C912" s="13" t="s">
        <v>66</v>
      </c>
      <c r="D912" s="13" t="s">
        <v>522</v>
      </c>
      <c r="E912" s="13" t="s">
        <v>123</v>
      </c>
      <c r="F912" s="14">
        <f>'пр. 4 Вед'!G974</f>
        <v>14574</v>
      </c>
      <c r="G912" s="14">
        <f>'пр. 4 Вед'!H974</f>
        <v>14560.9</v>
      </c>
      <c r="H912" s="14">
        <f t="shared" si="146"/>
        <v>13.100000000000364</v>
      </c>
      <c r="I912" s="77">
        <f t="shared" si="147"/>
        <v>99.91011390146836</v>
      </c>
      <c r="L912" s="192"/>
      <c r="M912" s="192"/>
      <c r="N912" s="192"/>
      <c r="O912" s="192"/>
      <c r="P912" s="192"/>
      <c r="Q912" s="192"/>
    </row>
    <row r="913" spans="1:17" s="27" customFormat="1" ht="12.75">
      <c r="A913" s="46" t="s">
        <v>124</v>
      </c>
      <c r="B913" s="13" t="s">
        <v>73</v>
      </c>
      <c r="C913" s="13" t="s">
        <v>66</v>
      </c>
      <c r="D913" s="13" t="s">
        <v>522</v>
      </c>
      <c r="E913" s="13" t="s">
        <v>125</v>
      </c>
      <c r="F913" s="14">
        <f>'пр. 4 Вед'!G975</f>
        <v>0</v>
      </c>
      <c r="G913" s="14">
        <f>'пр. 4 Вед'!H975</f>
        <v>0</v>
      </c>
      <c r="H913" s="14">
        <f t="shared" si="146"/>
        <v>0</v>
      </c>
      <c r="I913" s="77" t="e">
        <f t="shared" si="147"/>
        <v>#DIV/0!</v>
      </c>
      <c r="L913" s="192"/>
      <c r="M913" s="192"/>
      <c r="N913" s="192"/>
      <c r="O913" s="192"/>
      <c r="P913" s="192"/>
      <c r="Q913" s="192"/>
    </row>
    <row r="914" spans="1:17" s="27" customFormat="1" ht="12.75">
      <c r="A914" s="46" t="s">
        <v>83</v>
      </c>
      <c r="B914" s="13" t="s">
        <v>73</v>
      </c>
      <c r="C914" s="13" t="s">
        <v>66</v>
      </c>
      <c r="D914" s="13" t="s">
        <v>262</v>
      </c>
      <c r="E914" s="13"/>
      <c r="F914" s="14">
        <f>F917+F922+F925</f>
        <v>1797.8000000000002</v>
      </c>
      <c r="G914" s="14">
        <f>G917+G922+G925</f>
        <v>1791.9</v>
      </c>
      <c r="H914" s="14">
        <f t="shared" si="146"/>
        <v>5.900000000000091</v>
      </c>
      <c r="I914" s="77">
        <f t="shared" si="147"/>
        <v>99.67182111469573</v>
      </c>
      <c r="L914" s="192"/>
      <c r="M914" s="192"/>
      <c r="N914" s="192"/>
      <c r="O914" s="192"/>
      <c r="P914" s="192"/>
      <c r="Q914" s="192"/>
    </row>
    <row r="915" spans="1:17" s="27" customFormat="1" ht="25.5">
      <c r="A915" s="46" t="s">
        <v>289</v>
      </c>
      <c r="B915" s="13" t="s">
        <v>73</v>
      </c>
      <c r="C915" s="13" t="s">
        <v>66</v>
      </c>
      <c r="D915" s="13" t="s">
        <v>523</v>
      </c>
      <c r="E915" s="13"/>
      <c r="F915" s="14">
        <f>F916</f>
        <v>1797.8000000000002</v>
      </c>
      <c r="G915" s="14">
        <f>G916</f>
        <v>1791.9</v>
      </c>
      <c r="H915" s="14">
        <f t="shared" si="146"/>
        <v>5.900000000000091</v>
      </c>
      <c r="I915" s="77">
        <f t="shared" si="147"/>
        <v>99.67182111469573</v>
      </c>
      <c r="L915" s="192"/>
      <c r="M915" s="192"/>
      <c r="N915" s="192"/>
      <c r="O915" s="192"/>
      <c r="P915" s="192"/>
      <c r="Q915" s="192"/>
    </row>
    <row r="916" spans="1:17" s="27" customFormat="1" ht="12.75">
      <c r="A916" s="46" t="s">
        <v>524</v>
      </c>
      <c r="B916" s="13" t="s">
        <v>73</v>
      </c>
      <c r="C916" s="13" t="s">
        <v>66</v>
      </c>
      <c r="D916" s="13" t="s">
        <v>553</v>
      </c>
      <c r="E916" s="13"/>
      <c r="F916" s="14">
        <f>F917+F922+F925</f>
        <v>1797.8000000000002</v>
      </c>
      <c r="G916" s="14">
        <f>G917+G922+G925</f>
        <v>1791.9</v>
      </c>
      <c r="H916" s="14">
        <f t="shared" si="146"/>
        <v>5.900000000000091</v>
      </c>
      <c r="I916" s="77">
        <f t="shared" si="147"/>
        <v>99.67182111469573</v>
      </c>
      <c r="L916" s="192"/>
      <c r="M916" s="192"/>
      <c r="N916" s="192"/>
      <c r="O916" s="192"/>
      <c r="P916" s="192"/>
      <c r="Q916" s="192"/>
    </row>
    <row r="917" spans="1:17" s="27" customFormat="1" ht="38.25">
      <c r="A917" s="46" t="s">
        <v>110</v>
      </c>
      <c r="B917" s="13" t="s">
        <v>73</v>
      </c>
      <c r="C917" s="13" t="s">
        <v>66</v>
      </c>
      <c r="D917" s="13" t="s">
        <v>553</v>
      </c>
      <c r="E917" s="13" t="s">
        <v>111</v>
      </c>
      <c r="F917" s="14">
        <f>F918</f>
        <v>1382.7</v>
      </c>
      <c r="G917" s="14">
        <f>G918</f>
        <v>1382.5</v>
      </c>
      <c r="H917" s="14">
        <f t="shared" si="146"/>
        <v>0.20000000000004547</v>
      </c>
      <c r="I917" s="77">
        <f t="shared" si="147"/>
        <v>99.98553554639473</v>
      </c>
      <c r="L917" s="192"/>
      <c r="M917" s="192"/>
      <c r="N917" s="192"/>
      <c r="O917" s="192"/>
      <c r="P917" s="192"/>
      <c r="Q917" s="192"/>
    </row>
    <row r="918" spans="1:17" s="27" customFormat="1" ht="12.75">
      <c r="A918" s="69" t="s">
        <v>406</v>
      </c>
      <c r="B918" s="13" t="s">
        <v>73</v>
      </c>
      <c r="C918" s="13" t="s">
        <v>66</v>
      </c>
      <c r="D918" s="13" t="s">
        <v>553</v>
      </c>
      <c r="E918" s="13" t="s">
        <v>408</v>
      </c>
      <c r="F918" s="14">
        <f>F919+F920+F921</f>
        <v>1382.7</v>
      </c>
      <c r="G918" s="14">
        <f>G919+G920+G921</f>
        <v>1382.5</v>
      </c>
      <c r="H918" s="14">
        <f t="shared" si="146"/>
        <v>0.20000000000004547</v>
      </c>
      <c r="I918" s="77">
        <f t="shared" si="147"/>
        <v>99.98553554639473</v>
      </c>
      <c r="L918" s="192"/>
      <c r="M918" s="192"/>
      <c r="N918" s="192"/>
      <c r="O918" s="192"/>
      <c r="P918" s="192"/>
      <c r="Q918" s="192"/>
    </row>
    <row r="919" spans="1:17" s="27" customFormat="1" ht="12.75">
      <c r="A919" s="46" t="s">
        <v>573</v>
      </c>
      <c r="B919" s="13" t="s">
        <v>73</v>
      </c>
      <c r="C919" s="13" t="s">
        <v>66</v>
      </c>
      <c r="D919" s="13" t="s">
        <v>553</v>
      </c>
      <c r="E919" s="13" t="s">
        <v>409</v>
      </c>
      <c r="F919" s="14">
        <f>'пр. 4 Вед'!G981</f>
        <v>1070</v>
      </c>
      <c r="G919" s="14">
        <f>'пр. 4 Вед'!H981</f>
        <v>1069.9</v>
      </c>
      <c r="H919" s="14">
        <f t="shared" si="146"/>
        <v>0.09999999999990905</v>
      </c>
      <c r="I919" s="77">
        <f t="shared" si="147"/>
        <v>99.99065420560748</v>
      </c>
      <c r="L919" s="192"/>
      <c r="M919" s="192"/>
      <c r="N919" s="192"/>
      <c r="O919" s="192"/>
      <c r="P919" s="192"/>
      <c r="Q919" s="192"/>
    </row>
    <row r="920" spans="1:17" s="27" customFormat="1" ht="12.75">
      <c r="A920" s="46" t="s">
        <v>574</v>
      </c>
      <c r="B920" s="13" t="s">
        <v>73</v>
      </c>
      <c r="C920" s="13" t="s">
        <v>66</v>
      </c>
      <c r="D920" s="13" t="s">
        <v>553</v>
      </c>
      <c r="E920" s="13" t="s">
        <v>407</v>
      </c>
      <c r="F920" s="14">
        <f>'пр. 4 Вед'!G982</f>
        <v>0</v>
      </c>
      <c r="G920" s="14">
        <f>'пр. 4 Вед'!H982</f>
        <v>0</v>
      </c>
      <c r="H920" s="14">
        <f t="shared" si="146"/>
        <v>0</v>
      </c>
      <c r="I920" s="77" t="e">
        <f t="shared" si="147"/>
        <v>#DIV/0!</v>
      </c>
      <c r="L920" s="192"/>
      <c r="M920" s="192"/>
      <c r="N920" s="192"/>
      <c r="O920" s="192"/>
      <c r="P920" s="192"/>
      <c r="Q920" s="192"/>
    </row>
    <row r="921" spans="1:17" s="27" customFormat="1" ht="25.5">
      <c r="A921" s="46" t="s">
        <v>576</v>
      </c>
      <c r="B921" s="13" t="s">
        <v>73</v>
      </c>
      <c r="C921" s="13" t="s">
        <v>66</v>
      </c>
      <c r="D921" s="13" t="s">
        <v>553</v>
      </c>
      <c r="E921" s="13" t="s">
        <v>410</v>
      </c>
      <c r="F921" s="14">
        <f>'пр. 4 Вед'!G983</f>
        <v>312.70000000000005</v>
      </c>
      <c r="G921" s="14">
        <f>'пр. 4 Вед'!H983</f>
        <v>312.6</v>
      </c>
      <c r="H921" s="14">
        <f t="shared" si="146"/>
        <v>0.10000000000002274</v>
      </c>
      <c r="I921" s="77">
        <f t="shared" si="147"/>
        <v>99.96802046690118</v>
      </c>
      <c r="L921" s="192"/>
      <c r="M921" s="192"/>
      <c r="N921" s="192"/>
      <c r="O921" s="192"/>
      <c r="P921" s="192"/>
      <c r="Q921" s="192"/>
    </row>
    <row r="922" spans="1:17" s="27" customFormat="1" ht="12.75">
      <c r="A922" s="46" t="s">
        <v>770</v>
      </c>
      <c r="B922" s="13" t="s">
        <v>73</v>
      </c>
      <c r="C922" s="13" t="s">
        <v>66</v>
      </c>
      <c r="D922" s="13" t="s">
        <v>553</v>
      </c>
      <c r="E922" s="13" t="s">
        <v>113</v>
      </c>
      <c r="F922" s="14">
        <f>F923</f>
        <v>412.1</v>
      </c>
      <c r="G922" s="14">
        <f>G923</f>
        <v>406.4</v>
      </c>
      <c r="H922" s="14">
        <f t="shared" si="146"/>
        <v>5.7000000000000455</v>
      </c>
      <c r="I922" s="77">
        <f t="shared" si="147"/>
        <v>98.61684057267652</v>
      </c>
      <c r="L922" s="192"/>
      <c r="M922" s="192"/>
      <c r="N922" s="192"/>
      <c r="O922" s="192"/>
      <c r="P922" s="192"/>
      <c r="Q922" s="192"/>
    </row>
    <row r="923" spans="1:17" s="27" customFormat="1" ht="25.5">
      <c r="A923" s="46" t="s">
        <v>106</v>
      </c>
      <c r="B923" s="13" t="s">
        <v>73</v>
      </c>
      <c r="C923" s="13" t="s">
        <v>66</v>
      </c>
      <c r="D923" s="13" t="s">
        <v>553</v>
      </c>
      <c r="E923" s="13" t="s">
        <v>107</v>
      </c>
      <c r="F923" s="14">
        <f>F924</f>
        <v>412.1</v>
      </c>
      <c r="G923" s="14">
        <f>G924</f>
        <v>406.4</v>
      </c>
      <c r="H923" s="14">
        <f t="shared" si="146"/>
        <v>5.7000000000000455</v>
      </c>
      <c r="I923" s="77">
        <f t="shared" si="147"/>
        <v>98.61684057267652</v>
      </c>
      <c r="L923" s="192"/>
      <c r="M923" s="192"/>
      <c r="N923" s="192"/>
      <c r="O923" s="192"/>
      <c r="P923" s="192"/>
      <c r="Q923" s="192"/>
    </row>
    <row r="924" spans="1:17" s="27" customFormat="1" ht="25.5">
      <c r="A924" s="46" t="s">
        <v>108</v>
      </c>
      <c r="B924" s="13" t="s">
        <v>73</v>
      </c>
      <c r="C924" s="13" t="s">
        <v>66</v>
      </c>
      <c r="D924" s="13" t="s">
        <v>553</v>
      </c>
      <c r="E924" s="13" t="s">
        <v>109</v>
      </c>
      <c r="F924" s="14">
        <f>'пр. 4 Вед'!G986</f>
        <v>412.1</v>
      </c>
      <c r="G924" s="14">
        <f>'пр. 4 Вед'!H986</f>
        <v>406.4</v>
      </c>
      <c r="H924" s="14">
        <f t="shared" si="146"/>
        <v>5.7000000000000455</v>
      </c>
      <c r="I924" s="77">
        <f t="shared" si="147"/>
        <v>98.61684057267652</v>
      </c>
      <c r="L924" s="192"/>
      <c r="M924" s="192"/>
      <c r="N924" s="192"/>
      <c r="O924" s="192"/>
      <c r="P924" s="192"/>
      <c r="Q924" s="192"/>
    </row>
    <row r="925" spans="1:17" s="27" customFormat="1" ht="12.75">
      <c r="A925" s="46" t="s">
        <v>137</v>
      </c>
      <c r="B925" s="13" t="s">
        <v>73</v>
      </c>
      <c r="C925" s="13" t="s">
        <v>66</v>
      </c>
      <c r="D925" s="13" t="s">
        <v>553</v>
      </c>
      <c r="E925" s="13" t="s">
        <v>138</v>
      </c>
      <c r="F925" s="14">
        <f>F926</f>
        <v>3</v>
      </c>
      <c r="G925" s="14">
        <f>G926</f>
        <v>3</v>
      </c>
      <c r="H925" s="14">
        <f t="shared" si="146"/>
        <v>0</v>
      </c>
      <c r="I925" s="77">
        <f t="shared" si="147"/>
        <v>100</v>
      </c>
      <c r="L925" s="192"/>
      <c r="M925" s="192"/>
      <c r="N925" s="192"/>
      <c r="O925" s="192"/>
      <c r="P925" s="192"/>
      <c r="Q925" s="192"/>
    </row>
    <row r="926" spans="1:17" s="27" customFormat="1" ht="12.75">
      <c r="A926" s="46" t="s">
        <v>140</v>
      </c>
      <c r="B926" s="13" t="s">
        <v>73</v>
      </c>
      <c r="C926" s="13" t="s">
        <v>66</v>
      </c>
      <c r="D926" s="13" t="s">
        <v>553</v>
      </c>
      <c r="E926" s="13" t="s">
        <v>141</v>
      </c>
      <c r="F926" s="14">
        <f>F927</f>
        <v>3</v>
      </c>
      <c r="G926" s="14">
        <f>G927</f>
        <v>3</v>
      </c>
      <c r="H926" s="14">
        <f t="shared" si="146"/>
        <v>0</v>
      </c>
      <c r="I926" s="77">
        <f t="shared" si="147"/>
        <v>100</v>
      </c>
      <c r="L926" s="192"/>
      <c r="M926" s="192"/>
      <c r="N926" s="192"/>
      <c r="O926" s="192"/>
      <c r="P926" s="192"/>
      <c r="Q926" s="192"/>
    </row>
    <row r="927" spans="1:17" s="27" customFormat="1" ht="12.75">
      <c r="A927" s="46" t="s">
        <v>142</v>
      </c>
      <c r="B927" s="13" t="s">
        <v>73</v>
      </c>
      <c r="C927" s="13" t="s">
        <v>66</v>
      </c>
      <c r="D927" s="13" t="s">
        <v>553</v>
      </c>
      <c r="E927" s="13" t="s">
        <v>143</v>
      </c>
      <c r="F927" s="14">
        <f>'пр. 4 Вед'!G989</f>
        <v>3</v>
      </c>
      <c r="G927" s="14">
        <f>'пр. 4 Вед'!H989</f>
        <v>3</v>
      </c>
      <c r="H927" s="14">
        <f t="shared" si="146"/>
        <v>0</v>
      </c>
      <c r="I927" s="77">
        <f t="shared" si="147"/>
        <v>100</v>
      </c>
      <c r="L927" s="192"/>
      <c r="M927" s="192"/>
      <c r="N927" s="192"/>
      <c r="O927" s="192"/>
      <c r="P927" s="192"/>
      <c r="Q927" s="192"/>
    </row>
    <row r="928" spans="1:17" s="27" customFormat="1" ht="12.75">
      <c r="A928" s="60" t="s">
        <v>183</v>
      </c>
      <c r="B928" s="29" t="s">
        <v>73</v>
      </c>
      <c r="C928" s="29" t="s">
        <v>66</v>
      </c>
      <c r="D928" s="29" t="s">
        <v>267</v>
      </c>
      <c r="E928" s="29"/>
      <c r="F928" s="30">
        <f aca="true" t="shared" si="148" ref="F928:G931">F929</f>
        <v>13844.3</v>
      </c>
      <c r="G928" s="30">
        <f t="shared" si="148"/>
        <v>13844.3</v>
      </c>
      <c r="H928" s="30">
        <f t="shared" si="146"/>
        <v>0</v>
      </c>
      <c r="I928" s="82">
        <f t="shared" si="147"/>
        <v>100</v>
      </c>
      <c r="L928" s="192"/>
      <c r="M928" s="192"/>
      <c r="N928" s="192"/>
      <c r="O928" s="192"/>
      <c r="P928" s="192"/>
      <c r="Q928" s="192"/>
    </row>
    <row r="929" spans="1:17" s="27" customFormat="1" ht="25.5">
      <c r="A929" s="46" t="s">
        <v>289</v>
      </c>
      <c r="B929" s="13" t="s">
        <v>73</v>
      </c>
      <c r="C929" s="13" t="s">
        <v>66</v>
      </c>
      <c r="D929" s="13" t="s">
        <v>525</v>
      </c>
      <c r="E929" s="13"/>
      <c r="F929" s="14">
        <f t="shared" si="148"/>
        <v>13844.3</v>
      </c>
      <c r="G929" s="14">
        <f t="shared" si="148"/>
        <v>13844.3</v>
      </c>
      <c r="H929" s="14">
        <f t="shared" si="146"/>
        <v>0</v>
      </c>
      <c r="I929" s="77">
        <f t="shared" si="147"/>
        <v>100</v>
      </c>
      <c r="L929" s="192"/>
      <c r="M929" s="192"/>
      <c r="N929" s="192"/>
      <c r="O929" s="192"/>
      <c r="P929" s="192"/>
      <c r="Q929" s="192"/>
    </row>
    <row r="930" spans="1:17" s="27" customFormat="1" ht="12.75">
      <c r="A930" s="46" t="s">
        <v>288</v>
      </c>
      <c r="B930" s="13" t="s">
        <v>73</v>
      </c>
      <c r="C930" s="13" t="s">
        <v>66</v>
      </c>
      <c r="D930" s="13" t="s">
        <v>526</v>
      </c>
      <c r="E930" s="13"/>
      <c r="F930" s="14">
        <f t="shared" si="148"/>
        <v>13844.3</v>
      </c>
      <c r="G930" s="14">
        <f t="shared" si="148"/>
        <v>13844.3</v>
      </c>
      <c r="H930" s="14">
        <f t="shared" si="146"/>
        <v>0</v>
      </c>
      <c r="I930" s="77">
        <f t="shared" si="147"/>
        <v>100</v>
      </c>
      <c r="L930" s="192"/>
      <c r="M930" s="192"/>
      <c r="N930" s="192"/>
      <c r="O930" s="192"/>
      <c r="P930" s="192"/>
      <c r="Q930" s="192"/>
    </row>
    <row r="931" spans="1:17" s="27" customFormat="1" ht="25.5">
      <c r="A931" s="46" t="s">
        <v>114</v>
      </c>
      <c r="B931" s="13" t="s">
        <v>73</v>
      </c>
      <c r="C931" s="13" t="s">
        <v>66</v>
      </c>
      <c r="D931" s="13" t="s">
        <v>526</v>
      </c>
      <c r="E931" s="13" t="s">
        <v>115</v>
      </c>
      <c r="F931" s="14">
        <f t="shared" si="148"/>
        <v>13844.3</v>
      </c>
      <c r="G931" s="14">
        <f t="shared" si="148"/>
        <v>13844.3</v>
      </c>
      <c r="H931" s="14">
        <f t="shared" si="146"/>
        <v>0</v>
      </c>
      <c r="I931" s="77">
        <f t="shared" si="147"/>
        <v>100</v>
      </c>
      <c r="L931" s="192"/>
      <c r="M931" s="192"/>
      <c r="N931" s="192"/>
      <c r="O931" s="192"/>
      <c r="P931" s="192"/>
      <c r="Q931" s="192"/>
    </row>
    <row r="932" spans="1:17" s="27" customFormat="1" ht="12.75">
      <c r="A932" s="46" t="s">
        <v>120</v>
      </c>
      <c r="B932" s="13" t="s">
        <v>73</v>
      </c>
      <c r="C932" s="13" t="s">
        <v>66</v>
      </c>
      <c r="D932" s="13" t="s">
        <v>526</v>
      </c>
      <c r="E932" s="13" t="s">
        <v>121</v>
      </c>
      <c r="F932" s="14">
        <f>F933+F934</f>
        <v>13844.3</v>
      </c>
      <c r="G932" s="14">
        <f>G933+G934</f>
        <v>13844.3</v>
      </c>
      <c r="H932" s="14">
        <f t="shared" si="146"/>
        <v>0</v>
      </c>
      <c r="I932" s="77">
        <f t="shared" si="147"/>
        <v>100</v>
      </c>
      <c r="L932" s="192"/>
      <c r="M932" s="192"/>
      <c r="N932" s="192"/>
      <c r="O932" s="192"/>
      <c r="P932" s="192"/>
      <c r="Q932" s="192"/>
    </row>
    <row r="933" spans="1:17" s="27" customFormat="1" ht="38.25">
      <c r="A933" s="46" t="s">
        <v>122</v>
      </c>
      <c r="B933" s="13" t="s">
        <v>73</v>
      </c>
      <c r="C933" s="13" t="s">
        <v>66</v>
      </c>
      <c r="D933" s="13" t="s">
        <v>526</v>
      </c>
      <c r="E933" s="13" t="s">
        <v>123</v>
      </c>
      <c r="F933" s="14">
        <f>'пр. 4 Вед'!G995</f>
        <v>13710</v>
      </c>
      <c r="G933" s="14">
        <f>'пр. 4 Вед'!H995</f>
        <v>13710</v>
      </c>
      <c r="H933" s="14">
        <f t="shared" si="146"/>
        <v>0</v>
      </c>
      <c r="I933" s="77">
        <f t="shared" si="147"/>
        <v>100</v>
      </c>
      <c r="L933" s="192"/>
      <c r="M933" s="192"/>
      <c r="N933" s="192"/>
      <c r="O933" s="192"/>
      <c r="P933" s="192"/>
      <c r="Q933" s="192"/>
    </row>
    <row r="934" spans="1:17" s="27" customFormat="1" ht="12.75">
      <c r="A934" s="46" t="s">
        <v>124</v>
      </c>
      <c r="B934" s="13" t="s">
        <v>73</v>
      </c>
      <c r="C934" s="13" t="s">
        <v>66</v>
      </c>
      <c r="D934" s="13" t="s">
        <v>526</v>
      </c>
      <c r="E934" s="13" t="s">
        <v>125</v>
      </c>
      <c r="F934" s="14">
        <f>'пр. 4 Вед'!G996</f>
        <v>134.3</v>
      </c>
      <c r="G934" s="14">
        <f>'пр. 4 Вед'!H996</f>
        <v>134.3</v>
      </c>
      <c r="H934" s="14">
        <f t="shared" si="146"/>
        <v>0</v>
      </c>
      <c r="I934" s="77">
        <f t="shared" si="147"/>
        <v>100</v>
      </c>
      <c r="L934" s="192"/>
      <c r="M934" s="192"/>
      <c r="N934" s="192"/>
      <c r="O934" s="192"/>
      <c r="P934" s="192"/>
      <c r="Q934" s="192"/>
    </row>
    <row r="935" spans="1:17" s="27" customFormat="1" ht="12.75">
      <c r="A935" s="60" t="s">
        <v>88</v>
      </c>
      <c r="B935" s="29" t="s">
        <v>73</v>
      </c>
      <c r="C935" s="29" t="s">
        <v>68</v>
      </c>
      <c r="D935" s="29"/>
      <c r="E935" s="29"/>
      <c r="F935" s="30">
        <f>F936+F942+F962+F976+F993+F956</f>
        <v>17226.100000000002</v>
      </c>
      <c r="G935" s="30">
        <f>G936+G942+G962+G976+G993+G956</f>
        <v>17157.899999999998</v>
      </c>
      <c r="H935" s="30">
        <f t="shared" si="146"/>
        <v>68.20000000000437</v>
      </c>
      <c r="I935" s="82">
        <f t="shared" si="147"/>
        <v>99.60408914379921</v>
      </c>
      <c r="L935" s="192"/>
      <c r="M935" s="192"/>
      <c r="N935" s="192"/>
      <c r="O935" s="192"/>
      <c r="P935" s="192"/>
      <c r="Q935" s="192"/>
    </row>
    <row r="936" spans="1:17" s="27" customFormat="1" ht="25.5">
      <c r="A936" s="46" t="s">
        <v>361</v>
      </c>
      <c r="B936" s="13" t="s">
        <v>73</v>
      </c>
      <c r="C936" s="13" t="s">
        <v>68</v>
      </c>
      <c r="D936" s="45" t="s">
        <v>206</v>
      </c>
      <c r="E936" s="13"/>
      <c r="F936" s="14">
        <f aca="true" t="shared" si="149" ref="F936:G940">F937</f>
        <v>15.9</v>
      </c>
      <c r="G936" s="14">
        <f t="shared" si="149"/>
        <v>15.9</v>
      </c>
      <c r="H936" s="14">
        <f t="shared" si="146"/>
        <v>0</v>
      </c>
      <c r="I936" s="77">
        <f t="shared" si="147"/>
        <v>100</v>
      </c>
      <c r="L936" s="192"/>
      <c r="M936" s="192"/>
      <c r="N936" s="192"/>
      <c r="O936" s="192"/>
      <c r="P936" s="192"/>
      <c r="Q936" s="192"/>
    </row>
    <row r="937" spans="1:17" s="27" customFormat="1" ht="25.5">
      <c r="A937" s="46" t="s">
        <v>290</v>
      </c>
      <c r="B937" s="13" t="s">
        <v>73</v>
      </c>
      <c r="C937" s="13" t="s">
        <v>68</v>
      </c>
      <c r="D937" s="45" t="s">
        <v>453</v>
      </c>
      <c r="E937" s="13"/>
      <c r="F937" s="14">
        <f t="shared" si="149"/>
        <v>15.9</v>
      </c>
      <c r="G937" s="14">
        <f t="shared" si="149"/>
        <v>15.9</v>
      </c>
      <c r="H937" s="14">
        <f t="shared" si="146"/>
        <v>0</v>
      </c>
      <c r="I937" s="77">
        <f t="shared" si="147"/>
        <v>100</v>
      </c>
      <c r="L937" s="192"/>
      <c r="M937" s="192"/>
      <c r="N937" s="192"/>
      <c r="O937" s="192"/>
      <c r="P937" s="192"/>
      <c r="Q937" s="192"/>
    </row>
    <row r="938" spans="1:17" s="27" customFormat="1" ht="12.75">
      <c r="A938" s="46" t="s">
        <v>226</v>
      </c>
      <c r="B938" s="13" t="s">
        <v>73</v>
      </c>
      <c r="C938" s="13" t="s">
        <v>68</v>
      </c>
      <c r="D938" s="45" t="s">
        <v>480</v>
      </c>
      <c r="E938" s="13"/>
      <c r="F938" s="14">
        <f t="shared" si="149"/>
        <v>15.9</v>
      </c>
      <c r="G938" s="14">
        <f t="shared" si="149"/>
        <v>15.9</v>
      </c>
      <c r="H938" s="14">
        <f t="shared" si="146"/>
        <v>0</v>
      </c>
      <c r="I938" s="77">
        <f t="shared" si="147"/>
        <v>100</v>
      </c>
      <c r="L938" s="192"/>
      <c r="M938" s="192"/>
      <c r="N938" s="192"/>
      <c r="O938" s="192"/>
      <c r="P938" s="192"/>
      <c r="Q938" s="192"/>
    </row>
    <row r="939" spans="1:17" s="27" customFormat="1" ht="12.75">
      <c r="A939" s="46" t="s">
        <v>770</v>
      </c>
      <c r="B939" s="13" t="s">
        <v>73</v>
      </c>
      <c r="C939" s="13" t="s">
        <v>68</v>
      </c>
      <c r="D939" s="45" t="s">
        <v>480</v>
      </c>
      <c r="E939" s="13" t="s">
        <v>113</v>
      </c>
      <c r="F939" s="14">
        <f t="shared" si="149"/>
        <v>15.9</v>
      </c>
      <c r="G939" s="14">
        <f t="shared" si="149"/>
        <v>15.9</v>
      </c>
      <c r="H939" s="14">
        <f t="shared" si="146"/>
        <v>0</v>
      </c>
      <c r="I939" s="77">
        <f t="shared" si="147"/>
        <v>100</v>
      </c>
      <c r="L939" s="192"/>
      <c r="M939" s="192"/>
      <c r="N939" s="192"/>
      <c r="O939" s="192"/>
      <c r="P939" s="192"/>
      <c r="Q939" s="192"/>
    </row>
    <row r="940" spans="1:17" s="27" customFormat="1" ht="25.5">
      <c r="A940" s="46" t="s">
        <v>106</v>
      </c>
      <c r="B940" s="13" t="s">
        <v>73</v>
      </c>
      <c r="C940" s="13" t="s">
        <v>68</v>
      </c>
      <c r="D940" s="45" t="s">
        <v>480</v>
      </c>
      <c r="E940" s="13" t="s">
        <v>107</v>
      </c>
      <c r="F940" s="14">
        <f t="shared" si="149"/>
        <v>15.9</v>
      </c>
      <c r="G940" s="14">
        <f t="shared" si="149"/>
        <v>15.9</v>
      </c>
      <c r="H940" s="14">
        <f t="shared" si="146"/>
        <v>0</v>
      </c>
      <c r="I940" s="77">
        <f t="shared" si="147"/>
        <v>100</v>
      </c>
      <c r="L940" s="192"/>
      <c r="M940" s="192"/>
      <c r="N940" s="192"/>
      <c r="O940" s="192"/>
      <c r="P940" s="192"/>
      <c r="Q940" s="192"/>
    </row>
    <row r="941" spans="1:17" s="27" customFormat="1" ht="25.5">
      <c r="A941" s="46" t="s">
        <v>108</v>
      </c>
      <c r="B941" s="13" t="s">
        <v>73</v>
      </c>
      <c r="C941" s="13" t="s">
        <v>68</v>
      </c>
      <c r="D941" s="45" t="s">
        <v>480</v>
      </c>
      <c r="E941" s="13" t="s">
        <v>109</v>
      </c>
      <c r="F941" s="14">
        <f>'пр. 4 Вед'!G1003</f>
        <v>15.9</v>
      </c>
      <c r="G941" s="14">
        <f>'пр. 4 Вед'!H1003</f>
        <v>15.9</v>
      </c>
      <c r="H941" s="14">
        <f t="shared" si="146"/>
        <v>0</v>
      </c>
      <c r="I941" s="77">
        <f t="shared" si="147"/>
        <v>100</v>
      </c>
      <c r="L941" s="192"/>
      <c r="M941" s="192"/>
      <c r="N941" s="192"/>
      <c r="O941" s="192"/>
      <c r="P941" s="192"/>
      <c r="Q941" s="192"/>
    </row>
    <row r="942" spans="1:17" s="27" customFormat="1" ht="25.5">
      <c r="A942" s="46" t="s">
        <v>366</v>
      </c>
      <c r="B942" s="13" t="s">
        <v>73</v>
      </c>
      <c r="C942" s="13" t="s">
        <v>68</v>
      </c>
      <c r="D942" s="45" t="s">
        <v>234</v>
      </c>
      <c r="E942" s="13"/>
      <c r="F942" s="14">
        <f>F943</f>
        <v>336.1</v>
      </c>
      <c r="G942" s="14">
        <f>G943</f>
        <v>336.1</v>
      </c>
      <c r="H942" s="14">
        <f t="shared" si="146"/>
        <v>0</v>
      </c>
      <c r="I942" s="77">
        <f t="shared" si="147"/>
        <v>100</v>
      </c>
      <c r="L942" s="192"/>
      <c r="M942" s="192"/>
      <c r="N942" s="192"/>
      <c r="O942" s="192"/>
      <c r="P942" s="192"/>
      <c r="Q942" s="192"/>
    </row>
    <row r="943" spans="1:17" s="27" customFormat="1" ht="12.75">
      <c r="A943" s="46" t="s">
        <v>300</v>
      </c>
      <c r="B943" s="13" t="s">
        <v>73</v>
      </c>
      <c r="C943" s="13" t="s">
        <v>68</v>
      </c>
      <c r="D943" s="45" t="s">
        <v>490</v>
      </c>
      <c r="E943" s="13"/>
      <c r="F943" s="14">
        <f>F944+F948</f>
        <v>336.1</v>
      </c>
      <c r="G943" s="14">
        <f>G944+G948</f>
        <v>336.1</v>
      </c>
      <c r="H943" s="14">
        <f t="shared" si="146"/>
        <v>0</v>
      </c>
      <c r="I943" s="77">
        <f t="shared" si="147"/>
        <v>100</v>
      </c>
      <c r="L943" s="192"/>
      <c r="M943" s="192"/>
      <c r="N943" s="192"/>
      <c r="O943" s="192"/>
      <c r="P943" s="192"/>
      <c r="Q943" s="192"/>
    </row>
    <row r="944" spans="1:17" s="27" customFormat="1" ht="12.75">
      <c r="A944" s="46" t="s">
        <v>233</v>
      </c>
      <c r="B944" s="13" t="s">
        <v>73</v>
      </c>
      <c r="C944" s="13" t="s">
        <v>68</v>
      </c>
      <c r="D944" s="45" t="s">
        <v>491</v>
      </c>
      <c r="E944" s="13"/>
      <c r="F944" s="14">
        <f aca="true" t="shared" si="150" ref="F944:G946">F945</f>
        <v>99.7</v>
      </c>
      <c r="G944" s="14">
        <f t="shared" si="150"/>
        <v>99.7</v>
      </c>
      <c r="H944" s="14">
        <f t="shared" si="146"/>
        <v>0</v>
      </c>
      <c r="I944" s="77">
        <f t="shared" si="147"/>
        <v>100</v>
      </c>
      <c r="L944" s="192"/>
      <c r="M944" s="192"/>
      <c r="N944" s="192"/>
      <c r="O944" s="192"/>
      <c r="P944" s="192"/>
      <c r="Q944" s="192"/>
    </row>
    <row r="945" spans="1:17" s="27" customFormat="1" ht="12.75">
      <c r="A945" s="46" t="s">
        <v>770</v>
      </c>
      <c r="B945" s="13" t="s">
        <v>73</v>
      </c>
      <c r="C945" s="13" t="s">
        <v>68</v>
      </c>
      <c r="D945" s="45" t="s">
        <v>491</v>
      </c>
      <c r="E945" s="13" t="s">
        <v>113</v>
      </c>
      <c r="F945" s="14">
        <f t="shared" si="150"/>
        <v>99.7</v>
      </c>
      <c r="G945" s="14">
        <f t="shared" si="150"/>
        <v>99.7</v>
      </c>
      <c r="H945" s="14">
        <f t="shared" si="146"/>
        <v>0</v>
      </c>
      <c r="I945" s="77">
        <f t="shared" si="147"/>
        <v>100</v>
      </c>
      <c r="L945" s="192"/>
      <c r="M945" s="192"/>
      <c r="N945" s="192"/>
      <c r="O945" s="192"/>
      <c r="P945" s="192"/>
      <c r="Q945" s="192"/>
    </row>
    <row r="946" spans="1:17" s="27" customFormat="1" ht="12.75" customHeight="1">
      <c r="A946" s="46" t="s">
        <v>106</v>
      </c>
      <c r="B946" s="13" t="s">
        <v>73</v>
      </c>
      <c r="C946" s="13" t="s">
        <v>68</v>
      </c>
      <c r="D946" s="45" t="s">
        <v>491</v>
      </c>
      <c r="E946" s="13" t="s">
        <v>107</v>
      </c>
      <c r="F946" s="14">
        <f t="shared" si="150"/>
        <v>99.7</v>
      </c>
      <c r="G946" s="14">
        <f t="shared" si="150"/>
        <v>99.7</v>
      </c>
      <c r="H946" s="14">
        <f t="shared" si="146"/>
        <v>0</v>
      </c>
      <c r="I946" s="77">
        <f t="shared" si="147"/>
        <v>100</v>
      </c>
      <c r="L946" s="192"/>
      <c r="M946" s="192"/>
      <c r="N946" s="192"/>
      <c r="O946" s="192"/>
      <c r="P946" s="192"/>
      <c r="Q946" s="192"/>
    </row>
    <row r="947" spans="1:17" s="27" customFormat="1" ht="15" customHeight="1">
      <c r="A947" s="46" t="s">
        <v>108</v>
      </c>
      <c r="B947" s="13" t="s">
        <v>73</v>
      </c>
      <c r="C947" s="13" t="s">
        <v>68</v>
      </c>
      <c r="D947" s="45" t="s">
        <v>491</v>
      </c>
      <c r="E947" s="13" t="s">
        <v>109</v>
      </c>
      <c r="F947" s="14">
        <f>'пр. 4 Вед'!G1009</f>
        <v>99.7</v>
      </c>
      <c r="G947" s="14">
        <f>'пр. 4 Вед'!H1009</f>
        <v>99.7</v>
      </c>
      <c r="H947" s="14">
        <f t="shared" si="146"/>
        <v>0</v>
      </c>
      <c r="I947" s="77">
        <f t="shared" si="147"/>
        <v>100</v>
      </c>
      <c r="L947" s="192"/>
      <c r="M947" s="192"/>
      <c r="N947" s="192"/>
      <c r="O947" s="192"/>
      <c r="P947" s="192"/>
      <c r="Q947" s="192"/>
    </row>
    <row r="948" spans="1:17" s="27" customFormat="1" ht="12.75">
      <c r="A948" s="46" t="s">
        <v>235</v>
      </c>
      <c r="B948" s="13" t="s">
        <v>73</v>
      </c>
      <c r="C948" s="13" t="s">
        <v>68</v>
      </c>
      <c r="D948" s="45" t="s">
        <v>492</v>
      </c>
      <c r="E948" s="29"/>
      <c r="F948" s="14">
        <f>F949+F953</f>
        <v>236.4</v>
      </c>
      <c r="G948" s="14">
        <f>G949+G953</f>
        <v>236.4</v>
      </c>
      <c r="H948" s="14">
        <f t="shared" si="146"/>
        <v>0</v>
      </c>
      <c r="I948" s="77">
        <f t="shared" si="147"/>
        <v>100</v>
      </c>
      <c r="L948" s="192"/>
      <c r="M948" s="192"/>
      <c r="N948" s="192"/>
      <c r="O948" s="192"/>
      <c r="P948" s="192"/>
      <c r="Q948" s="192"/>
    </row>
    <row r="949" spans="1:17" s="27" customFormat="1" ht="38.25">
      <c r="A949" s="46" t="s">
        <v>110</v>
      </c>
      <c r="B949" s="13" t="s">
        <v>73</v>
      </c>
      <c r="C949" s="13" t="s">
        <v>68</v>
      </c>
      <c r="D949" s="45" t="s">
        <v>492</v>
      </c>
      <c r="E949" s="13" t="s">
        <v>111</v>
      </c>
      <c r="F949" s="14">
        <f>F950</f>
        <v>82.5</v>
      </c>
      <c r="G949" s="14">
        <f>G950</f>
        <v>82.5</v>
      </c>
      <c r="H949" s="14">
        <f t="shared" si="146"/>
        <v>0</v>
      </c>
      <c r="I949" s="77">
        <f t="shared" si="147"/>
        <v>100</v>
      </c>
      <c r="L949" s="192"/>
      <c r="M949" s="192"/>
      <c r="N949" s="192"/>
      <c r="O949" s="192"/>
      <c r="P949" s="192"/>
      <c r="Q949" s="192"/>
    </row>
    <row r="950" spans="1:17" s="27" customFormat="1" ht="12.75">
      <c r="A950" s="69" t="s">
        <v>406</v>
      </c>
      <c r="B950" s="13" t="s">
        <v>73</v>
      </c>
      <c r="C950" s="13" t="s">
        <v>68</v>
      </c>
      <c r="D950" s="45" t="s">
        <v>492</v>
      </c>
      <c r="E950" s="13" t="s">
        <v>408</v>
      </c>
      <c r="F950" s="14">
        <f>F951+F952</f>
        <v>82.5</v>
      </c>
      <c r="G950" s="14">
        <f>G951+G952</f>
        <v>82.5</v>
      </c>
      <c r="H950" s="14">
        <f t="shared" si="146"/>
        <v>0</v>
      </c>
      <c r="I950" s="77">
        <f t="shared" si="147"/>
        <v>100</v>
      </c>
      <c r="L950" s="192"/>
      <c r="M950" s="192"/>
      <c r="N950" s="192"/>
      <c r="O950" s="192"/>
      <c r="P950" s="192"/>
      <c r="Q950" s="192"/>
    </row>
    <row r="951" spans="1:17" s="27" customFormat="1" ht="12.75">
      <c r="A951" s="46" t="s">
        <v>574</v>
      </c>
      <c r="B951" s="13" t="s">
        <v>73</v>
      </c>
      <c r="C951" s="13" t="s">
        <v>68</v>
      </c>
      <c r="D951" s="45" t="s">
        <v>492</v>
      </c>
      <c r="E951" s="13" t="s">
        <v>407</v>
      </c>
      <c r="F951" s="14">
        <f>'пр. 4 Вед'!G1013</f>
        <v>4.399999999999999</v>
      </c>
      <c r="G951" s="14">
        <f>'пр. 4 Вед'!H1013</f>
        <v>4.4</v>
      </c>
      <c r="H951" s="14">
        <f t="shared" si="146"/>
        <v>0</v>
      </c>
      <c r="I951" s="77">
        <f t="shared" si="147"/>
        <v>100.00000000000004</v>
      </c>
      <c r="L951" s="192"/>
      <c r="M951" s="192"/>
      <c r="N951" s="192"/>
      <c r="O951" s="192"/>
      <c r="P951" s="192"/>
      <c r="Q951" s="192"/>
    </row>
    <row r="952" spans="1:17" s="27" customFormat="1" ht="25.5">
      <c r="A952" s="9" t="s">
        <v>753</v>
      </c>
      <c r="B952" s="13" t="s">
        <v>73</v>
      </c>
      <c r="C952" s="13" t="s">
        <v>68</v>
      </c>
      <c r="D952" s="45" t="s">
        <v>492</v>
      </c>
      <c r="E952" s="13" t="s">
        <v>754</v>
      </c>
      <c r="F952" s="14">
        <f>'пр. 4 Вед'!G1014</f>
        <v>78.1</v>
      </c>
      <c r="G952" s="14">
        <f>'пр. 4 Вед'!H1014</f>
        <v>78.1</v>
      </c>
      <c r="H952" s="14">
        <f t="shared" si="146"/>
        <v>0</v>
      </c>
      <c r="I952" s="77">
        <f t="shared" si="147"/>
        <v>100</v>
      </c>
      <c r="L952" s="192"/>
      <c r="M952" s="192"/>
      <c r="N952" s="192"/>
      <c r="O952" s="192"/>
      <c r="P952" s="192"/>
      <c r="Q952" s="192"/>
    </row>
    <row r="953" spans="1:17" s="27" customFormat="1" ht="12.75">
      <c r="A953" s="46" t="s">
        <v>770</v>
      </c>
      <c r="B953" s="13" t="s">
        <v>73</v>
      </c>
      <c r="C953" s="13" t="s">
        <v>68</v>
      </c>
      <c r="D953" s="45" t="s">
        <v>492</v>
      </c>
      <c r="E953" s="13" t="s">
        <v>113</v>
      </c>
      <c r="F953" s="14">
        <f>F954</f>
        <v>153.9</v>
      </c>
      <c r="G953" s="14">
        <f>G954</f>
        <v>153.9</v>
      </c>
      <c r="H953" s="14">
        <f t="shared" si="146"/>
        <v>0</v>
      </c>
      <c r="I953" s="77">
        <f t="shared" si="147"/>
        <v>100</v>
      </c>
      <c r="L953" s="192"/>
      <c r="M953" s="192"/>
      <c r="N953" s="192"/>
      <c r="O953" s="192"/>
      <c r="P953" s="192"/>
      <c r="Q953" s="192"/>
    </row>
    <row r="954" spans="1:17" s="27" customFormat="1" ht="25.5">
      <c r="A954" s="46" t="s">
        <v>106</v>
      </c>
      <c r="B954" s="13" t="s">
        <v>73</v>
      </c>
      <c r="C954" s="13" t="s">
        <v>68</v>
      </c>
      <c r="D954" s="45" t="s">
        <v>492</v>
      </c>
      <c r="E954" s="13" t="s">
        <v>107</v>
      </c>
      <c r="F954" s="14">
        <f>F955</f>
        <v>153.9</v>
      </c>
      <c r="G954" s="14">
        <f>G955</f>
        <v>153.9</v>
      </c>
      <c r="H954" s="14">
        <f t="shared" si="146"/>
        <v>0</v>
      </c>
      <c r="I954" s="77">
        <f t="shared" si="147"/>
        <v>100</v>
      </c>
      <c r="L954" s="192"/>
      <c r="M954" s="192"/>
      <c r="N954" s="192"/>
      <c r="O954" s="192"/>
      <c r="P954" s="192"/>
      <c r="Q954" s="192"/>
    </row>
    <row r="955" spans="1:17" s="27" customFormat="1" ht="25.5">
      <c r="A955" s="46" t="s">
        <v>108</v>
      </c>
      <c r="B955" s="13" t="s">
        <v>73</v>
      </c>
      <c r="C955" s="13" t="s">
        <v>68</v>
      </c>
      <c r="D955" s="45" t="s">
        <v>492</v>
      </c>
      <c r="E955" s="13" t="s">
        <v>109</v>
      </c>
      <c r="F955" s="14">
        <f>'пр. 4 Вед'!G1017</f>
        <v>153.9</v>
      </c>
      <c r="G955" s="14">
        <f>'пр. 4 Вед'!H1017</f>
        <v>153.9</v>
      </c>
      <c r="H955" s="14">
        <f t="shared" si="146"/>
        <v>0</v>
      </c>
      <c r="I955" s="77">
        <f t="shared" si="147"/>
        <v>100</v>
      </c>
      <c r="L955" s="192"/>
      <c r="M955" s="192"/>
      <c r="N955" s="192"/>
      <c r="O955" s="192"/>
      <c r="P955" s="192"/>
      <c r="Q955" s="192"/>
    </row>
    <row r="956" spans="1:17" s="27" customFormat="1" ht="25.5">
      <c r="A956" s="25" t="s">
        <v>355</v>
      </c>
      <c r="B956" s="13" t="s">
        <v>73</v>
      </c>
      <c r="C956" s="13" t="s">
        <v>68</v>
      </c>
      <c r="D956" s="45" t="s">
        <v>222</v>
      </c>
      <c r="E956" s="13"/>
      <c r="F956" s="14">
        <f aca="true" t="shared" si="151" ref="F956:G960">F957</f>
        <v>7.7</v>
      </c>
      <c r="G956" s="14">
        <f t="shared" si="151"/>
        <v>7.7</v>
      </c>
      <c r="H956" s="14">
        <f t="shared" si="146"/>
        <v>0</v>
      </c>
      <c r="I956" s="77">
        <f t="shared" si="147"/>
        <v>100</v>
      </c>
      <c r="L956" s="192"/>
      <c r="M956" s="192"/>
      <c r="N956" s="192"/>
      <c r="O956" s="192"/>
      <c r="P956" s="192"/>
      <c r="Q956" s="192"/>
    </row>
    <row r="957" spans="1:17" s="27" customFormat="1" ht="25.5">
      <c r="A957" s="25" t="s">
        <v>299</v>
      </c>
      <c r="B957" s="13" t="s">
        <v>73</v>
      </c>
      <c r="C957" s="13" t="s">
        <v>68</v>
      </c>
      <c r="D957" s="45" t="s">
        <v>488</v>
      </c>
      <c r="E957" s="13"/>
      <c r="F957" s="14">
        <f t="shared" si="151"/>
        <v>7.7</v>
      </c>
      <c r="G957" s="14">
        <f t="shared" si="151"/>
        <v>7.7</v>
      </c>
      <c r="H957" s="14">
        <f t="shared" si="146"/>
        <v>0</v>
      </c>
      <c r="I957" s="77">
        <f t="shared" si="147"/>
        <v>100</v>
      </c>
      <c r="L957" s="192"/>
      <c r="M957" s="192"/>
      <c r="N957" s="192"/>
      <c r="O957" s="192"/>
      <c r="P957" s="192"/>
      <c r="Q957" s="192"/>
    </row>
    <row r="958" spans="1:17" s="27" customFormat="1" ht="12.75">
      <c r="A958" s="25" t="s">
        <v>232</v>
      </c>
      <c r="B958" s="13" t="s">
        <v>73</v>
      </c>
      <c r="C958" s="13" t="s">
        <v>68</v>
      </c>
      <c r="D958" s="45" t="s">
        <v>489</v>
      </c>
      <c r="E958" s="13"/>
      <c r="F958" s="14">
        <f t="shared" si="151"/>
        <v>7.7</v>
      </c>
      <c r="G958" s="14">
        <f t="shared" si="151"/>
        <v>7.7</v>
      </c>
      <c r="H958" s="14">
        <f t="shared" si="146"/>
        <v>0</v>
      </c>
      <c r="I958" s="77">
        <f t="shared" si="147"/>
        <v>100</v>
      </c>
      <c r="L958" s="192"/>
      <c r="M958" s="192"/>
      <c r="N958" s="192"/>
      <c r="O958" s="192"/>
      <c r="P958" s="192"/>
      <c r="Q958" s="192"/>
    </row>
    <row r="959" spans="1:17" s="27" customFormat="1" ht="12.75">
      <c r="A959" s="46" t="s">
        <v>770</v>
      </c>
      <c r="B959" s="13" t="s">
        <v>73</v>
      </c>
      <c r="C959" s="13" t="s">
        <v>68</v>
      </c>
      <c r="D959" s="45" t="s">
        <v>489</v>
      </c>
      <c r="E959" s="13" t="s">
        <v>113</v>
      </c>
      <c r="F959" s="14">
        <f t="shared" si="151"/>
        <v>7.7</v>
      </c>
      <c r="G959" s="14">
        <f t="shared" si="151"/>
        <v>7.7</v>
      </c>
      <c r="H959" s="14">
        <f t="shared" si="146"/>
        <v>0</v>
      </c>
      <c r="I959" s="77">
        <f t="shared" si="147"/>
        <v>100</v>
      </c>
      <c r="L959" s="192"/>
      <c r="M959" s="192"/>
      <c r="N959" s="192"/>
      <c r="O959" s="192"/>
      <c r="P959" s="192"/>
      <c r="Q959" s="192"/>
    </row>
    <row r="960" spans="1:17" s="27" customFormat="1" ht="25.5">
      <c r="A960" s="9" t="s">
        <v>106</v>
      </c>
      <c r="B960" s="13" t="s">
        <v>73</v>
      </c>
      <c r="C960" s="13" t="s">
        <v>68</v>
      </c>
      <c r="D960" s="45" t="s">
        <v>489</v>
      </c>
      <c r="E960" s="13" t="s">
        <v>107</v>
      </c>
      <c r="F960" s="14">
        <f t="shared" si="151"/>
        <v>7.7</v>
      </c>
      <c r="G960" s="14">
        <f t="shared" si="151"/>
        <v>7.7</v>
      </c>
      <c r="H960" s="14">
        <f t="shared" si="146"/>
        <v>0</v>
      </c>
      <c r="I960" s="77">
        <f t="shared" si="147"/>
        <v>100</v>
      </c>
      <c r="L960" s="192"/>
      <c r="M960" s="192"/>
      <c r="N960" s="192"/>
      <c r="O960" s="192"/>
      <c r="P960" s="192"/>
      <c r="Q960" s="192"/>
    </row>
    <row r="961" spans="1:17" s="27" customFormat="1" ht="25.5">
      <c r="A961" s="9" t="s">
        <v>108</v>
      </c>
      <c r="B961" s="13" t="s">
        <v>73</v>
      </c>
      <c r="C961" s="13" t="s">
        <v>68</v>
      </c>
      <c r="D961" s="45" t="s">
        <v>489</v>
      </c>
      <c r="E961" s="13" t="s">
        <v>109</v>
      </c>
      <c r="F961" s="14">
        <v>7.7</v>
      </c>
      <c r="G961" s="14">
        <v>7.7</v>
      </c>
      <c r="H961" s="14">
        <f t="shared" si="146"/>
        <v>0</v>
      </c>
      <c r="I961" s="77">
        <f t="shared" si="147"/>
        <v>100</v>
      </c>
      <c r="L961" s="192"/>
      <c r="M961" s="192"/>
      <c r="N961" s="192"/>
      <c r="O961" s="192"/>
      <c r="P961" s="192"/>
      <c r="Q961" s="192"/>
    </row>
    <row r="962" spans="1:17" s="27" customFormat="1" ht="12.75">
      <c r="A962" s="46" t="s">
        <v>503</v>
      </c>
      <c r="B962" s="13" t="s">
        <v>73</v>
      </c>
      <c r="C962" s="13" t="s">
        <v>68</v>
      </c>
      <c r="D962" s="13" t="s">
        <v>252</v>
      </c>
      <c r="E962" s="13"/>
      <c r="F962" s="14">
        <f>F963</f>
        <v>222.5</v>
      </c>
      <c r="G962" s="14">
        <f>G963</f>
        <v>222.10000000000002</v>
      </c>
      <c r="H962" s="14">
        <f t="shared" si="146"/>
        <v>0.39999999999997726</v>
      </c>
      <c r="I962" s="77">
        <f t="shared" si="147"/>
        <v>99.82022471910113</v>
      </c>
      <c r="L962" s="192"/>
      <c r="M962" s="192"/>
      <c r="N962" s="192"/>
      <c r="O962" s="192"/>
      <c r="P962" s="192"/>
      <c r="Q962" s="192"/>
    </row>
    <row r="963" spans="1:17" s="27" customFormat="1" ht="12.75">
      <c r="A963" s="46" t="s">
        <v>504</v>
      </c>
      <c r="B963" s="13" t="s">
        <v>73</v>
      </c>
      <c r="C963" s="13" t="s">
        <v>68</v>
      </c>
      <c r="D963" s="13" t="s">
        <v>501</v>
      </c>
      <c r="E963" s="13"/>
      <c r="F963" s="14">
        <f>F964+F970</f>
        <v>222.5</v>
      </c>
      <c r="G963" s="14">
        <f>G964+G970</f>
        <v>222.10000000000002</v>
      </c>
      <c r="H963" s="14">
        <f t="shared" si="146"/>
        <v>0.39999999999997726</v>
      </c>
      <c r="I963" s="77">
        <f t="shared" si="147"/>
        <v>99.82022471910113</v>
      </c>
      <c r="L963" s="192"/>
      <c r="M963" s="192"/>
      <c r="N963" s="192"/>
      <c r="O963" s="192"/>
      <c r="P963" s="192"/>
      <c r="Q963" s="192"/>
    </row>
    <row r="964" spans="1:17" s="27" customFormat="1" ht="38.25">
      <c r="A964" s="46" t="s">
        <v>271</v>
      </c>
      <c r="B964" s="13" t="s">
        <v>73</v>
      </c>
      <c r="C964" s="13" t="s">
        <v>68</v>
      </c>
      <c r="D964" s="13" t="s">
        <v>502</v>
      </c>
      <c r="E964" s="13"/>
      <c r="F964" s="14">
        <f>F965</f>
        <v>207.3</v>
      </c>
      <c r="G964" s="14">
        <f>G965</f>
        <v>207.3</v>
      </c>
      <c r="H964" s="14">
        <f t="shared" si="146"/>
        <v>0</v>
      </c>
      <c r="I964" s="77">
        <f t="shared" si="147"/>
        <v>100</v>
      </c>
      <c r="L964" s="192"/>
      <c r="M964" s="192"/>
      <c r="N964" s="192"/>
      <c r="O964" s="192"/>
      <c r="P964" s="192"/>
      <c r="Q964" s="192"/>
    </row>
    <row r="965" spans="1:17" s="27" customFormat="1" ht="38.25">
      <c r="A965" s="46" t="s">
        <v>110</v>
      </c>
      <c r="B965" s="13" t="s">
        <v>73</v>
      </c>
      <c r="C965" s="13" t="s">
        <v>68</v>
      </c>
      <c r="D965" s="13" t="s">
        <v>502</v>
      </c>
      <c r="E965" s="13" t="s">
        <v>111</v>
      </c>
      <c r="F965" s="14">
        <f>F966+F968</f>
        <v>207.3</v>
      </c>
      <c r="G965" s="14">
        <f>G966+G968</f>
        <v>207.3</v>
      </c>
      <c r="H965" s="14">
        <f t="shared" si="146"/>
        <v>0</v>
      </c>
      <c r="I965" s="77">
        <f t="shared" si="147"/>
        <v>100</v>
      </c>
      <c r="L965" s="192"/>
      <c r="M965" s="192"/>
      <c r="N965" s="192"/>
      <c r="O965" s="192"/>
      <c r="P965" s="192"/>
      <c r="Q965" s="192"/>
    </row>
    <row r="966" spans="1:17" s="27" customFormat="1" ht="12.75">
      <c r="A966" s="69" t="s">
        <v>406</v>
      </c>
      <c r="B966" s="13" t="s">
        <v>73</v>
      </c>
      <c r="C966" s="13" t="s">
        <v>68</v>
      </c>
      <c r="D966" s="13" t="s">
        <v>502</v>
      </c>
      <c r="E966" s="13" t="s">
        <v>408</v>
      </c>
      <c r="F966" s="14">
        <f>F967</f>
        <v>182.5</v>
      </c>
      <c r="G966" s="14">
        <f>G967</f>
        <v>182.5</v>
      </c>
      <c r="H966" s="14">
        <f t="shared" si="146"/>
        <v>0</v>
      </c>
      <c r="I966" s="77">
        <f t="shared" si="147"/>
        <v>100</v>
      </c>
      <c r="L966" s="192"/>
      <c r="M966" s="192"/>
      <c r="N966" s="192"/>
      <c r="O966" s="192"/>
      <c r="P966" s="192"/>
      <c r="Q966" s="192"/>
    </row>
    <row r="967" spans="1:17" s="27" customFormat="1" ht="12.75">
      <c r="A967" s="46" t="s">
        <v>574</v>
      </c>
      <c r="B967" s="13" t="s">
        <v>73</v>
      </c>
      <c r="C967" s="13" t="s">
        <v>68</v>
      </c>
      <c r="D967" s="13" t="s">
        <v>502</v>
      </c>
      <c r="E967" s="13" t="s">
        <v>407</v>
      </c>
      <c r="F967" s="14">
        <f>'пр. 4 Вед'!G1029</f>
        <v>182.5</v>
      </c>
      <c r="G967" s="14">
        <f>'пр. 4 Вед'!H1029</f>
        <v>182.5</v>
      </c>
      <c r="H967" s="14">
        <f t="shared" si="146"/>
        <v>0</v>
      </c>
      <c r="I967" s="77">
        <f t="shared" si="147"/>
        <v>100</v>
      </c>
      <c r="L967" s="192"/>
      <c r="M967" s="192"/>
      <c r="N967" s="192"/>
      <c r="O967" s="192"/>
      <c r="P967" s="192"/>
      <c r="Q967" s="192"/>
    </row>
    <row r="968" spans="1:17" s="27" customFormat="1" ht="12.75">
      <c r="A968" s="46" t="s">
        <v>101</v>
      </c>
      <c r="B968" s="13" t="s">
        <v>73</v>
      </c>
      <c r="C968" s="13" t="s">
        <v>68</v>
      </c>
      <c r="D968" s="13" t="s">
        <v>502</v>
      </c>
      <c r="E968" s="13" t="s">
        <v>102</v>
      </c>
      <c r="F968" s="14">
        <f>F969</f>
        <v>24.80000000000001</v>
      </c>
      <c r="G968" s="14">
        <f>G969</f>
        <v>24.8</v>
      </c>
      <c r="H968" s="14">
        <f t="shared" si="146"/>
        <v>0</v>
      </c>
      <c r="I968" s="77">
        <f t="shared" si="147"/>
        <v>99.99999999999996</v>
      </c>
      <c r="L968" s="192"/>
      <c r="M968" s="192"/>
      <c r="N968" s="192"/>
      <c r="O968" s="192"/>
      <c r="P968" s="192"/>
      <c r="Q968" s="192"/>
    </row>
    <row r="969" spans="1:17" s="27" customFormat="1" ht="25.5">
      <c r="A969" s="46" t="s">
        <v>104</v>
      </c>
      <c r="B969" s="13" t="s">
        <v>73</v>
      </c>
      <c r="C969" s="13" t="s">
        <v>68</v>
      </c>
      <c r="D969" s="13" t="s">
        <v>502</v>
      </c>
      <c r="E969" s="13" t="s">
        <v>105</v>
      </c>
      <c r="F969" s="14">
        <f>'пр. 4 Вед'!G1031</f>
        <v>24.80000000000001</v>
      </c>
      <c r="G969" s="14">
        <f>'пр. 4 Вед'!H1031</f>
        <v>24.8</v>
      </c>
      <c r="H969" s="14">
        <f aca="true" t="shared" si="152" ref="H969:H1032">F969-G969</f>
        <v>0</v>
      </c>
      <c r="I969" s="77">
        <f aca="true" t="shared" si="153" ref="I969:I1032">G969/F969*100</f>
        <v>99.99999999999996</v>
      </c>
      <c r="L969" s="192"/>
      <c r="M969" s="192"/>
      <c r="N969" s="192"/>
      <c r="O969" s="192"/>
      <c r="P969" s="192"/>
      <c r="Q969" s="192"/>
    </row>
    <row r="970" spans="1:17" s="27" customFormat="1" ht="12.75">
      <c r="A970" s="46" t="s">
        <v>272</v>
      </c>
      <c r="B970" s="13" t="s">
        <v>73</v>
      </c>
      <c r="C970" s="13" t="s">
        <v>68</v>
      </c>
      <c r="D970" s="13" t="s">
        <v>505</v>
      </c>
      <c r="E970" s="13"/>
      <c r="F970" s="14">
        <f>F971</f>
        <v>15.200000000000001</v>
      </c>
      <c r="G970" s="14">
        <f>G971</f>
        <v>14.8</v>
      </c>
      <c r="H970" s="14">
        <f t="shared" si="152"/>
        <v>0.40000000000000036</v>
      </c>
      <c r="I970" s="77">
        <f t="shared" si="153"/>
        <v>97.36842105263158</v>
      </c>
      <c r="L970" s="192"/>
      <c r="M970" s="192"/>
      <c r="N970" s="192"/>
      <c r="O970" s="192"/>
      <c r="P970" s="192"/>
      <c r="Q970" s="192"/>
    </row>
    <row r="971" spans="1:17" s="27" customFormat="1" ht="38.25">
      <c r="A971" s="46" t="s">
        <v>110</v>
      </c>
      <c r="B971" s="13" t="s">
        <v>73</v>
      </c>
      <c r="C971" s="13" t="s">
        <v>68</v>
      </c>
      <c r="D971" s="13" t="s">
        <v>505</v>
      </c>
      <c r="E971" s="13" t="s">
        <v>111</v>
      </c>
      <c r="F971" s="14">
        <f>F972+F974</f>
        <v>15.200000000000001</v>
      </c>
      <c r="G971" s="14">
        <f>G972+G974</f>
        <v>14.8</v>
      </c>
      <c r="H971" s="14">
        <f t="shared" si="152"/>
        <v>0.40000000000000036</v>
      </c>
      <c r="I971" s="77">
        <f t="shared" si="153"/>
        <v>97.36842105263158</v>
      </c>
      <c r="L971" s="192"/>
      <c r="M971" s="192"/>
      <c r="N971" s="192"/>
      <c r="O971" s="192"/>
      <c r="P971" s="192"/>
      <c r="Q971" s="192"/>
    </row>
    <row r="972" spans="1:17" s="27" customFormat="1" ht="12.75">
      <c r="A972" s="69" t="s">
        <v>406</v>
      </c>
      <c r="B972" s="13" t="s">
        <v>73</v>
      </c>
      <c r="C972" s="13" t="s">
        <v>68</v>
      </c>
      <c r="D972" s="13" t="s">
        <v>505</v>
      </c>
      <c r="E972" s="13" t="s">
        <v>408</v>
      </c>
      <c r="F972" s="14">
        <f>F973</f>
        <v>14.100000000000001</v>
      </c>
      <c r="G972" s="14">
        <f>G973</f>
        <v>13.9</v>
      </c>
      <c r="H972" s="14">
        <f t="shared" si="152"/>
        <v>0.20000000000000107</v>
      </c>
      <c r="I972" s="77">
        <f t="shared" si="153"/>
        <v>98.58156028368793</v>
      </c>
      <c r="L972" s="192"/>
      <c r="M972" s="192"/>
      <c r="N972" s="192"/>
      <c r="O972" s="192"/>
      <c r="P972" s="192"/>
      <c r="Q972" s="192"/>
    </row>
    <row r="973" spans="1:17" s="27" customFormat="1" ht="12.75">
      <c r="A973" s="46" t="s">
        <v>574</v>
      </c>
      <c r="B973" s="13" t="s">
        <v>73</v>
      </c>
      <c r="C973" s="13" t="s">
        <v>68</v>
      </c>
      <c r="D973" s="13" t="s">
        <v>505</v>
      </c>
      <c r="E973" s="13" t="s">
        <v>407</v>
      </c>
      <c r="F973" s="14">
        <f>'пр. 4 Вед'!G1035</f>
        <v>14.100000000000001</v>
      </c>
      <c r="G973" s="14">
        <f>'пр. 4 Вед'!H1035</f>
        <v>13.9</v>
      </c>
      <c r="H973" s="14">
        <f t="shared" si="152"/>
        <v>0.20000000000000107</v>
      </c>
      <c r="I973" s="77">
        <f t="shared" si="153"/>
        <v>98.58156028368793</v>
      </c>
      <c r="L973" s="192"/>
      <c r="M973" s="192"/>
      <c r="N973" s="192"/>
      <c r="O973" s="192"/>
      <c r="P973" s="192"/>
      <c r="Q973" s="192"/>
    </row>
    <row r="974" spans="1:17" s="27" customFormat="1" ht="12.75">
      <c r="A974" s="46" t="s">
        <v>101</v>
      </c>
      <c r="B974" s="13" t="s">
        <v>73</v>
      </c>
      <c r="C974" s="13" t="s">
        <v>68</v>
      </c>
      <c r="D974" s="13" t="s">
        <v>505</v>
      </c>
      <c r="E974" s="13" t="s">
        <v>102</v>
      </c>
      <c r="F974" s="14">
        <f>F975</f>
        <v>1.1</v>
      </c>
      <c r="G974" s="14">
        <f>G975</f>
        <v>0.9</v>
      </c>
      <c r="H974" s="14">
        <f t="shared" si="152"/>
        <v>0.20000000000000007</v>
      </c>
      <c r="I974" s="77">
        <f t="shared" si="153"/>
        <v>81.81818181818181</v>
      </c>
      <c r="L974" s="192"/>
      <c r="M974" s="192"/>
      <c r="N974" s="192"/>
      <c r="O974" s="192"/>
      <c r="P974" s="192"/>
      <c r="Q974" s="192"/>
    </row>
    <row r="975" spans="1:17" s="27" customFormat="1" ht="25.5">
      <c r="A975" s="46" t="s">
        <v>104</v>
      </c>
      <c r="B975" s="13" t="s">
        <v>73</v>
      </c>
      <c r="C975" s="13" t="s">
        <v>68</v>
      </c>
      <c r="D975" s="13" t="s">
        <v>505</v>
      </c>
      <c r="E975" s="13" t="s">
        <v>105</v>
      </c>
      <c r="F975" s="14">
        <f>'пр. 4 Вед'!G1037</f>
        <v>1.1</v>
      </c>
      <c r="G975" s="14">
        <f>'пр. 4 Вед'!H1037</f>
        <v>0.9</v>
      </c>
      <c r="H975" s="14">
        <f t="shared" si="152"/>
        <v>0.20000000000000007</v>
      </c>
      <c r="I975" s="77">
        <f t="shared" si="153"/>
        <v>81.81818181818181</v>
      </c>
      <c r="L975" s="192"/>
      <c r="M975" s="192"/>
      <c r="N975" s="192"/>
      <c r="O975" s="192"/>
      <c r="P975" s="192"/>
      <c r="Q975" s="192"/>
    </row>
    <row r="976" spans="1:17" s="27" customFormat="1" ht="16.5" customHeight="1">
      <c r="A976" s="46" t="s">
        <v>557</v>
      </c>
      <c r="B976" s="13" t="s">
        <v>73</v>
      </c>
      <c r="C976" s="13" t="s">
        <v>68</v>
      </c>
      <c r="D976" s="13" t="s">
        <v>251</v>
      </c>
      <c r="E976" s="13"/>
      <c r="F976" s="14">
        <f>F977</f>
        <v>6329.9</v>
      </c>
      <c r="G976" s="14">
        <f>G977</f>
        <v>6326.700000000001</v>
      </c>
      <c r="H976" s="14">
        <f t="shared" si="152"/>
        <v>3.1999999999989086</v>
      </c>
      <c r="I976" s="77">
        <f t="shared" si="153"/>
        <v>99.94944627877219</v>
      </c>
      <c r="L976" s="192"/>
      <c r="M976" s="192"/>
      <c r="N976" s="192"/>
      <c r="O976" s="192"/>
      <c r="P976" s="192"/>
      <c r="Q976" s="192"/>
    </row>
    <row r="977" spans="1:17" s="27" customFormat="1" ht="12.75">
      <c r="A977" s="46" t="s">
        <v>50</v>
      </c>
      <c r="B977" s="13" t="s">
        <v>73</v>
      </c>
      <c r="C977" s="13" t="s">
        <v>68</v>
      </c>
      <c r="D977" s="13" t="s">
        <v>277</v>
      </c>
      <c r="E977" s="13"/>
      <c r="F977" s="14">
        <f>F978+F984</f>
        <v>6329.9</v>
      </c>
      <c r="G977" s="14">
        <f>G978+G984</f>
        <v>6326.700000000001</v>
      </c>
      <c r="H977" s="14">
        <f t="shared" si="152"/>
        <v>3.1999999999989086</v>
      </c>
      <c r="I977" s="77">
        <f t="shared" si="153"/>
        <v>99.94944627877219</v>
      </c>
      <c r="L977" s="192"/>
      <c r="M977" s="192"/>
      <c r="N977" s="192"/>
      <c r="O977" s="192"/>
      <c r="P977" s="192"/>
      <c r="Q977" s="192"/>
    </row>
    <row r="978" spans="1:17" s="27" customFormat="1" ht="12.75">
      <c r="A978" s="46" t="s">
        <v>273</v>
      </c>
      <c r="B978" s="13" t="s">
        <v>73</v>
      </c>
      <c r="C978" s="13" t="s">
        <v>68</v>
      </c>
      <c r="D978" s="13" t="s">
        <v>278</v>
      </c>
      <c r="E978" s="13"/>
      <c r="F978" s="14">
        <f>F979</f>
        <v>5788.5</v>
      </c>
      <c r="G978" s="14">
        <f>G979</f>
        <v>5787.200000000001</v>
      </c>
      <c r="H978" s="14">
        <f t="shared" si="152"/>
        <v>1.2999999999992724</v>
      </c>
      <c r="I978" s="77">
        <f t="shared" si="153"/>
        <v>99.97754167746396</v>
      </c>
      <c r="L978" s="192"/>
      <c r="M978" s="192"/>
      <c r="N978" s="192"/>
      <c r="O978" s="192"/>
      <c r="P978" s="192"/>
      <c r="Q978" s="192"/>
    </row>
    <row r="979" spans="1:17" s="27" customFormat="1" ht="38.25">
      <c r="A979" s="46" t="s">
        <v>110</v>
      </c>
      <c r="B979" s="13" t="s">
        <v>73</v>
      </c>
      <c r="C979" s="13" t="s">
        <v>68</v>
      </c>
      <c r="D979" s="13" t="s">
        <v>278</v>
      </c>
      <c r="E979" s="13" t="s">
        <v>111</v>
      </c>
      <c r="F979" s="14">
        <f>F980</f>
        <v>5788.5</v>
      </c>
      <c r="G979" s="14">
        <f>G980</f>
        <v>5787.200000000001</v>
      </c>
      <c r="H979" s="14">
        <f t="shared" si="152"/>
        <v>1.2999999999992724</v>
      </c>
      <c r="I979" s="77">
        <f t="shared" si="153"/>
        <v>99.97754167746396</v>
      </c>
      <c r="L979" s="192"/>
      <c r="M979" s="192"/>
      <c r="N979" s="192"/>
      <c r="O979" s="192"/>
      <c r="P979" s="192"/>
      <c r="Q979" s="192"/>
    </row>
    <row r="980" spans="1:17" s="27" customFormat="1" ht="12.75">
      <c r="A980" s="46" t="s">
        <v>101</v>
      </c>
      <c r="B980" s="13" t="s">
        <v>73</v>
      </c>
      <c r="C980" s="13" t="s">
        <v>68</v>
      </c>
      <c r="D980" s="13" t="s">
        <v>278</v>
      </c>
      <c r="E980" s="13" t="s">
        <v>102</v>
      </c>
      <c r="F980" s="14">
        <f>F981+F982+F983</f>
        <v>5788.5</v>
      </c>
      <c r="G980" s="14">
        <f>G981+G982+G983</f>
        <v>5787.200000000001</v>
      </c>
      <c r="H980" s="14">
        <f t="shared" si="152"/>
        <v>1.2999999999992724</v>
      </c>
      <c r="I980" s="77">
        <f t="shared" si="153"/>
        <v>99.97754167746396</v>
      </c>
      <c r="L980" s="192"/>
      <c r="M980" s="192"/>
      <c r="N980" s="192"/>
      <c r="O980" s="192"/>
      <c r="P980" s="192"/>
      <c r="Q980" s="192"/>
    </row>
    <row r="981" spans="1:17" s="27" customFormat="1" ht="12.75">
      <c r="A981" s="46" t="s">
        <v>567</v>
      </c>
      <c r="B981" s="13" t="s">
        <v>73</v>
      </c>
      <c r="C981" s="13" t="s">
        <v>68</v>
      </c>
      <c r="D981" s="13" t="s">
        <v>278</v>
      </c>
      <c r="E981" s="13" t="s">
        <v>103</v>
      </c>
      <c r="F981" s="14">
        <f>'пр. 4 Вед'!G1043</f>
        <v>4585.400000000001</v>
      </c>
      <c r="G981" s="14">
        <f>'пр. 4 Вед'!H1043</f>
        <v>4585.3</v>
      </c>
      <c r="H981" s="14">
        <f t="shared" si="152"/>
        <v>0.1000000000003638</v>
      </c>
      <c r="I981" s="77">
        <f t="shared" si="153"/>
        <v>99.99781916517642</v>
      </c>
      <c r="L981" s="192"/>
      <c r="M981" s="192"/>
      <c r="N981" s="192"/>
      <c r="O981" s="192"/>
      <c r="P981" s="192"/>
      <c r="Q981" s="192"/>
    </row>
    <row r="982" spans="1:17" s="27" customFormat="1" ht="25.5">
      <c r="A982" s="46" t="s">
        <v>104</v>
      </c>
      <c r="B982" s="13" t="s">
        <v>73</v>
      </c>
      <c r="C982" s="13" t="s">
        <v>68</v>
      </c>
      <c r="D982" s="13" t="s">
        <v>278</v>
      </c>
      <c r="E982" s="13" t="s">
        <v>105</v>
      </c>
      <c r="F982" s="14">
        <f>'пр. 4 Вед'!G1044</f>
        <v>27</v>
      </c>
      <c r="G982" s="14">
        <f>'пр. 4 Вед'!H1044</f>
        <v>25.8</v>
      </c>
      <c r="H982" s="14">
        <f t="shared" si="152"/>
        <v>1.1999999999999993</v>
      </c>
      <c r="I982" s="77">
        <f t="shared" si="153"/>
        <v>95.55555555555556</v>
      </c>
      <c r="L982" s="192"/>
      <c r="M982" s="192"/>
      <c r="N982" s="192"/>
      <c r="O982" s="192"/>
      <c r="P982" s="192"/>
      <c r="Q982" s="192"/>
    </row>
    <row r="983" spans="1:17" s="27" customFormat="1" ht="25.5">
      <c r="A983" s="46" t="s">
        <v>178</v>
      </c>
      <c r="B983" s="13" t="s">
        <v>73</v>
      </c>
      <c r="C983" s="13" t="s">
        <v>68</v>
      </c>
      <c r="D983" s="13" t="s">
        <v>278</v>
      </c>
      <c r="E983" s="13" t="s">
        <v>177</v>
      </c>
      <c r="F983" s="14">
        <f>'пр. 4 Вед'!G1045</f>
        <v>1176.1</v>
      </c>
      <c r="G983" s="14">
        <f>'пр. 4 Вед'!H1045</f>
        <v>1176.1</v>
      </c>
      <c r="H983" s="14">
        <f t="shared" si="152"/>
        <v>0</v>
      </c>
      <c r="I983" s="77">
        <f t="shared" si="153"/>
        <v>100</v>
      </c>
      <c r="L983" s="192"/>
      <c r="M983" s="192"/>
      <c r="N983" s="192"/>
      <c r="O983" s="192"/>
      <c r="P983" s="192"/>
      <c r="Q983" s="192"/>
    </row>
    <row r="984" spans="1:17" s="27" customFormat="1" ht="12.75">
      <c r="A984" s="46" t="s">
        <v>274</v>
      </c>
      <c r="B984" s="13" t="s">
        <v>73</v>
      </c>
      <c r="C984" s="13" t="s">
        <v>68</v>
      </c>
      <c r="D984" s="13" t="s">
        <v>279</v>
      </c>
      <c r="E984" s="13"/>
      <c r="F984" s="14">
        <f>F985+F988</f>
        <v>541.4</v>
      </c>
      <c r="G984" s="14">
        <f>G985+G988</f>
        <v>539.5</v>
      </c>
      <c r="H984" s="14">
        <f t="shared" si="152"/>
        <v>1.8999999999999773</v>
      </c>
      <c r="I984" s="77">
        <f t="shared" si="153"/>
        <v>99.64905799778353</v>
      </c>
      <c r="L984" s="192"/>
      <c r="M984" s="192"/>
      <c r="N984" s="192"/>
      <c r="O984" s="192"/>
      <c r="P984" s="192"/>
      <c r="Q984" s="192"/>
    </row>
    <row r="985" spans="1:17" s="27" customFormat="1" ht="12.75">
      <c r="A985" s="46" t="s">
        <v>770</v>
      </c>
      <c r="B985" s="13" t="s">
        <v>73</v>
      </c>
      <c r="C985" s="13" t="s">
        <v>68</v>
      </c>
      <c r="D985" s="13" t="s">
        <v>279</v>
      </c>
      <c r="E985" s="13" t="s">
        <v>113</v>
      </c>
      <c r="F985" s="14">
        <f>F986</f>
        <v>529</v>
      </c>
      <c r="G985" s="14">
        <f>G986</f>
        <v>527.2</v>
      </c>
      <c r="H985" s="14">
        <f t="shared" si="152"/>
        <v>1.7999999999999545</v>
      </c>
      <c r="I985" s="77">
        <f t="shared" si="153"/>
        <v>99.65973534971646</v>
      </c>
      <c r="L985" s="192"/>
      <c r="M985" s="192"/>
      <c r="N985" s="192"/>
      <c r="O985" s="192"/>
      <c r="P985" s="192"/>
      <c r="Q985" s="192"/>
    </row>
    <row r="986" spans="1:17" s="27" customFormat="1" ht="25.5">
      <c r="A986" s="46" t="s">
        <v>106</v>
      </c>
      <c r="B986" s="13" t="s">
        <v>73</v>
      </c>
      <c r="C986" s="13" t="s">
        <v>68</v>
      </c>
      <c r="D986" s="13" t="s">
        <v>279</v>
      </c>
      <c r="E986" s="13" t="s">
        <v>107</v>
      </c>
      <c r="F986" s="14">
        <f>F987</f>
        <v>529</v>
      </c>
      <c r="G986" s="14">
        <f>G987</f>
        <v>527.2</v>
      </c>
      <c r="H986" s="14">
        <f t="shared" si="152"/>
        <v>1.7999999999999545</v>
      </c>
      <c r="I986" s="77">
        <f t="shared" si="153"/>
        <v>99.65973534971646</v>
      </c>
      <c r="L986" s="192"/>
      <c r="M986" s="192"/>
      <c r="N986" s="192"/>
      <c r="O986" s="192"/>
      <c r="P986" s="192"/>
      <c r="Q986" s="192"/>
    </row>
    <row r="987" spans="1:17" s="27" customFormat="1" ht="25.5">
      <c r="A987" s="46" t="s">
        <v>108</v>
      </c>
      <c r="B987" s="13" t="s">
        <v>73</v>
      </c>
      <c r="C987" s="13" t="s">
        <v>68</v>
      </c>
      <c r="D987" s="13" t="s">
        <v>279</v>
      </c>
      <c r="E987" s="13" t="s">
        <v>109</v>
      </c>
      <c r="F987" s="14">
        <f>'пр. 4 Вед'!G1049</f>
        <v>529</v>
      </c>
      <c r="G987" s="14">
        <f>'пр. 4 Вед'!H1049</f>
        <v>527.2</v>
      </c>
      <c r="H987" s="14">
        <f t="shared" si="152"/>
        <v>1.7999999999999545</v>
      </c>
      <c r="I987" s="77">
        <f t="shared" si="153"/>
        <v>99.65973534971646</v>
      </c>
      <c r="L987" s="192"/>
      <c r="M987" s="192"/>
      <c r="N987" s="192"/>
      <c r="O987" s="192"/>
      <c r="P987" s="192"/>
      <c r="Q987" s="192"/>
    </row>
    <row r="988" spans="1:17" s="27" customFormat="1" ht="12.75">
      <c r="A988" s="46" t="s">
        <v>137</v>
      </c>
      <c r="B988" s="13" t="s">
        <v>73</v>
      </c>
      <c r="C988" s="13" t="s">
        <v>68</v>
      </c>
      <c r="D988" s="13" t="s">
        <v>279</v>
      </c>
      <c r="E988" s="13" t="s">
        <v>138</v>
      </c>
      <c r="F988" s="14">
        <f>F989</f>
        <v>12.399999999999999</v>
      </c>
      <c r="G988" s="14">
        <f>G989</f>
        <v>12.299999999999999</v>
      </c>
      <c r="H988" s="14">
        <f t="shared" si="152"/>
        <v>0.09999999999999964</v>
      </c>
      <c r="I988" s="77">
        <f t="shared" si="153"/>
        <v>99.19354838709677</v>
      </c>
      <c r="L988" s="192"/>
      <c r="M988" s="192"/>
      <c r="N988" s="192"/>
      <c r="O988" s="192"/>
      <c r="P988" s="192"/>
      <c r="Q988" s="192"/>
    </row>
    <row r="989" spans="1:17" s="27" customFormat="1" ht="12.75">
      <c r="A989" s="46" t="s">
        <v>140</v>
      </c>
      <c r="B989" s="13" t="s">
        <v>73</v>
      </c>
      <c r="C989" s="13" t="s">
        <v>68</v>
      </c>
      <c r="D989" s="13" t="s">
        <v>279</v>
      </c>
      <c r="E989" s="13" t="s">
        <v>141</v>
      </c>
      <c r="F989" s="14">
        <f>F990+F991+F992</f>
        <v>12.399999999999999</v>
      </c>
      <c r="G989" s="14">
        <f>G990+G991+G992</f>
        <v>12.299999999999999</v>
      </c>
      <c r="H989" s="14">
        <f t="shared" si="152"/>
        <v>0.09999999999999964</v>
      </c>
      <c r="I989" s="77">
        <f t="shared" si="153"/>
        <v>99.19354838709677</v>
      </c>
      <c r="L989" s="192"/>
      <c r="M989" s="192"/>
      <c r="N989" s="192"/>
      <c r="O989" s="192"/>
      <c r="P989" s="192"/>
      <c r="Q989" s="192"/>
    </row>
    <row r="990" spans="1:17" s="27" customFormat="1" ht="12.75">
      <c r="A990" s="46" t="s">
        <v>142</v>
      </c>
      <c r="B990" s="13" t="s">
        <v>73</v>
      </c>
      <c r="C990" s="13" t="s">
        <v>68</v>
      </c>
      <c r="D990" s="13" t="s">
        <v>279</v>
      </c>
      <c r="E990" s="13" t="s">
        <v>143</v>
      </c>
      <c r="F990" s="14">
        <f>'пр. 4 Вед'!G1052</f>
        <v>11.2</v>
      </c>
      <c r="G990" s="14">
        <f>'пр. 4 Вед'!H1052</f>
        <v>11.1</v>
      </c>
      <c r="H990" s="14">
        <f t="shared" si="152"/>
        <v>0.09999999999999964</v>
      </c>
      <c r="I990" s="77">
        <f t="shared" si="153"/>
        <v>99.10714285714286</v>
      </c>
      <c r="L990" s="192"/>
      <c r="M990" s="192"/>
      <c r="N990" s="192"/>
      <c r="O990" s="192"/>
      <c r="P990" s="192"/>
      <c r="Q990" s="192"/>
    </row>
    <row r="991" spans="1:17" s="27" customFormat="1" ht="12.75">
      <c r="A991" s="46" t="s">
        <v>179</v>
      </c>
      <c r="B991" s="13" t="s">
        <v>73</v>
      </c>
      <c r="C991" s="13" t="s">
        <v>68</v>
      </c>
      <c r="D991" s="13" t="s">
        <v>279</v>
      </c>
      <c r="E991" s="13" t="s">
        <v>144</v>
      </c>
      <c r="F991" s="14">
        <f>'пр. 4 Вед'!G1053</f>
        <v>0.19999999999999996</v>
      </c>
      <c r="G991" s="14">
        <f>'пр. 4 Вед'!H1053</f>
        <v>0.2</v>
      </c>
      <c r="H991" s="14">
        <f t="shared" si="152"/>
        <v>0</v>
      </c>
      <c r="I991" s="77">
        <f t="shared" si="153"/>
        <v>100.00000000000003</v>
      </c>
      <c r="L991" s="192"/>
      <c r="M991" s="192"/>
      <c r="N991" s="192"/>
      <c r="O991" s="192"/>
      <c r="P991" s="192"/>
      <c r="Q991" s="192"/>
    </row>
    <row r="992" spans="1:17" s="27" customFormat="1" ht="12.75">
      <c r="A992" s="46" t="s">
        <v>180</v>
      </c>
      <c r="B992" s="13" t="s">
        <v>73</v>
      </c>
      <c r="C992" s="13" t="s">
        <v>68</v>
      </c>
      <c r="D992" s="13" t="s">
        <v>279</v>
      </c>
      <c r="E992" s="13" t="s">
        <v>181</v>
      </c>
      <c r="F992" s="14">
        <f>'пр. 4 Вед'!G1054</f>
        <v>1</v>
      </c>
      <c r="G992" s="14">
        <f>'пр. 4 Вед'!H1054</f>
        <v>1</v>
      </c>
      <c r="H992" s="14">
        <f t="shared" si="152"/>
        <v>0</v>
      </c>
      <c r="I992" s="77">
        <f t="shared" si="153"/>
        <v>100</v>
      </c>
      <c r="L992" s="192"/>
      <c r="M992" s="192"/>
      <c r="N992" s="192"/>
      <c r="O992" s="192"/>
      <c r="P992" s="192"/>
      <c r="Q992" s="192"/>
    </row>
    <row r="993" spans="1:17" s="27" customFormat="1" ht="38.25">
      <c r="A993" s="46" t="s">
        <v>405</v>
      </c>
      <c r="B993" s="13" t="s">
        <v>73</v>
      </c>
      <c r="C993" s="13" t="s">
        <v>68</v>
      </c>
      <c r="D993" s="13" t="s">
        <v>266</v>
      </c>
      <c r="E993" s="13"/>
      <c r="F993" s="14">
        <f>F995+F1007</f>
        <v>10314</v>
      </c>
      <c r="G993" s="14">
        <f>G995+G1007</f>
        <v>10249.399999999998</v>
      </c>
      <c r="H993" s="14">
        <f t="shared" si="152"/>
        <v>64.60000000000218</v>
      </c>
      <c r="I993" s="77">
        <f t="shared" si="153"/>
        <v>99.37366686057784</v>
      </c>
      <c r="L993" s="192"/>
      <c r="M993" s="192"/>
      <c r="N993" s="192"/>
      <c r="O993" s="192"/>
      <c r="P993" s="192"/>
      <c r="Q993" s="192"/>
    </row>
    <row r="994" spans="1:17" s="27" customFormat="1" ht="25.5">
      <c r="A994" s="46" t="s">
        <v>289</v>
      </c>
      <c r="B994" s="13" t="s">
        <v>73</v>
      </c>
      <c r="C994" s="13" t="s">
        <v>68</v>
      </c>
      <c r="D994" s="13" t="s">
        <v>518</v>
      </c>
      <c r="E994" s="13"/>
      <c r="F994" s="14">
        <f>F995+F1007</f>
        <v>10314</v>
      </c>
      <c r="G994" s="14">
        <f>G995+G1007</f>
        <v>10249.399999999998</v>
      </c>
      <c r="H994" s="14">
        <f t="shared" si="152"/>
        <v>64.60000000000218</v>
      </c>
      <c r="I994" s="77">
        <f t="shared" si="153"/>
        <v>99.37366686057784</v>
      </c>
      <c r="L994" s="192"/>
      <c r="M994" s="192"/>
      <c r="N994" s="192"/>
      <c r="O994" s="192"/>
      <c r="P994" s="192"/>
      <c r="Q994" s="192"/>
    </row>
    <row r="995" spans="1:17" s="27" customFormat="1" ht="20.25" customHeight="1">
      <c r="A995" s="46" t="s">
        <v>519</v>
      </c>
      <c r="B995" s="13" t="s">
        <v>73</v>
      </c>
      <c r="C995" s="13" t="s">
        <v>68</v>
      </c>
      <c r="D995" s="13" t="s">
        <v>554</v>
      </c>
      <c r="E995" s="13"/>
      <c r="F995" s="14">
        <f>F996+F1001+F1004</f>
        <v>6220.299999999999</v>
      </c>
      <c r="G995" s="14">
        <f>G996+G1001+G1004</f>
        <v>6220.299999999999</v>
      </c>
      <c r="H995" s="14">
        <f t="shared" si="152"/>
        <v>0</v>
      </c>
      <c r="I995" s="77">
        <f t="shared" si="153"/>
        <v>100</v>
      </c>
      <c r="L995" s="192"/>
      <c r="M995" s="192"/>
      <c r="N995" s="192"/>
      <c r="O995" s="192"/>
      <c r="P995" s="192"/>
      <c r="Q995" s="192"/>
    </row>
    <row r="996" spans="1:17" s="27" customFormat="1" ht="38.25">
      <c r="A996" s="46" t="s">
        <v>110</v>
      </c>
      <c r="B996" s="13" t="s">
        <v>73</v>
      </c>
      <c r="C996" s="13" t="s">
        <v>68</v>
      </c>
      <c r="D996" s="13" t="s">
        <v>554</v>
      </c>
      <c r="E996" s="13" t="s">
        <v>111</v>
      </c>
      <c r="F996" s="14">
        <f>F997</f>
        <v>5701.199999999999</v>
      </c>
      <c r="G996" s="14">
        <f>G997</f>
        <v>5701.199999999999</v>
      </c>
      <c r="H996" s="14">
        <f t="shared" si="152"/>
        <v>0</v>
      </c>
      <c r="I996" s="77">
        <f t="shared" si="153"/>
        <v>100</v>
      </c>
      <c r="L996" s="192"/>
      <c r="M996" s="192"/>
      <c r="N996" s="192"/>
      <c r="O996" s="192"/>
      <c r="P996" s="192"/>
      <c r="Q996" s="192"/>
    </row>
    <row r="997" spans="1:17" s="27" customFormat="1" ht="12.75">
      <c r="A997" s="69" t="s">
        <v>406</v>
      </c>
      <c r="B997" s="13" t="s">
        <v>73</v>
      </c>
      <c r="C997" s="13" t="s">
        <v>68</v>
      </c>
      <c r="D997" s="13" t="s">
        <v>554</v>
      </c>
      <c r="E997" s="13" t="s">
        <v>408</v>
      </c>
      <c r="F997" s="14">
        <f>F998+F999+F1000</f>
        <v>5701.199999999999</v>
      </c>
      <c r="G997" s="14">
        <f>G998+G999+G1000</f>
        <v>5701.199999999999</v>
      </c>
      <c r="H997" s="14">
        <f t="shared" si="152"/>
        <v>0</v>
      </c>
      <c r="I997" s="77">
        <f t="shared" si="153"/>
        <v>100</v>
      </c>
      <c r="L997" s="192"/>
      <c r="M997" s="192"/>
      <c r="N997" s="192"/>
      <c r="O997" s="192"/>
      <c r="P997" s="192"/>
      <c r="Q997" s="192"/>
    </row>
    <row r="998" spans="1:17" s="27" customFormat="1" ht="12.75">
      <c r="A998" s="46" t="s">
        <v>573</v>
      </c>
      <c r="B998" s="13" t="s">
        <v>73</v>
      </c>
      <c r="C998" s="13" t="s">
        <v>68</v>
      </c>
      <c r="D998" s="13" t="s">
        <v>554</v>
      </c>
      <c r="E998" s="13" t="s">
        <v>409</v>
      </c>
      <c r="F998" s="14">
        <f>'пр. 4 Вед'!G1060</f>
        <v>4468.7</v>
      </c>
      <c r="G998" s="14">
        <f>'пр. 4 Вед'!H1060</f>
        <v>4468.7</v>
      </c>
      <c r="H998" s="14">
        <f t="shared" si="152"/>
        <v>0</v>
      </c>
      <c r="I998" s="77">
        <f t="shared" si="153"/>
        <v>100</v>
      </c>
      <c r="L998" s="192"/>
      <c r="M998" s="192"/>
      <c r="N998" s="192"/>
      <c r="O998" s="192"/>
      <c r="P998" s="192"/>
      <c r="Q998" s="192"/>
    </row>
    <row r="999" spans="1:17" s="27" customFormat="1" ht="12.75">
      <c r="A999" s="46" t="s">
        <v>574</v>
      </c>
      <c r="B999" s="13" t="s">
        <v>73</v>
      </c>
      <c r="C999" s="13" t="s">
        <v>68</v>
      </c>
      <c r="D999" s="13" t="s">
        <v>554</v>
      </c>
      <c r="E999" s="13" t="s">
        <v>407</v>
      </c>
      <c r="F999" s="14">
        <f>'пр. 4 Вед'!G1061</f>
        <v>4.9</v>
      </c>
      <c r="G999" s="14">
        <f>'пр. 4 Вед'!H1061</f>
        <v>4.9</v>
      </c>
      <c r="H999" s="14">
        <f t="shared" si="152"/>
        <v>0</v>
      </c>
      <c r="I999" s="77">
        <f t="shared" si="153"/>
        <v>100</v>
      </c>
      <c r="L999" s="192"/>
      <c r="M999" s="192"/>
      <c r="N999" s="192"/>
      <c r="O999" s="192"/>
      <c r="P999" s="192"/>
      <c r="Q999" s="192"/>
    </row>
    <row r="1000" spans="1:17" s="27" customFormat="1" ht="25.5">
      <c r="A1000" s="46" t="s">
        <v>576</v>
      </c>
      <c r="B1000" s="13" t="s">
        <v>73</v>
      </c>
      <c r="C1000" s="13" t="s">
        <v>68</v>
      </c>
      <c r="D1000" s="13" t="s">
        <v>554</v>
      </c>
      <c r="E1000" s="13" t="s">
        <v>410</v>
      </c>
      <c r="F1000" s="14">
        <f>'пр. 4 Вед'!G1062</f>
        <v>1227.6</v>
      </c>
      <c r="G1000" s="14">
        <f>'пр. 4 Вед'!H1062</f>
        <v>1227.6</v>
      </c>
      <c r="H1000" s="14">
        <f t="shared" si="152"/>
        <v>0</v>
      </c>
      <c r="I1000" s="77">
        <f t="shared" si="153"/>
        <v>100</v>
      </c>
      <c r="L1000" s="192"/>
      <c r="M1000" s="192"/>
      <c r="N1000" s="192"/>
      <c r="O1000" s="192"/>
      <c r="P1000" s="192"/>
      <c r="Q1000" s="192"/>
    </row>
    <row r="1001" spans="1:17" s="27" customFormat="1" ht="12.75">
      <c r="A1001" s="46" t="s">
        <v>770</v>
      </c>
      <c r="B1001" s="13" t="s">
        <v>73</v>
      </c>
      <c r="C1001" s="13" t="s">
        <v>68</v>
      </c>
      <c r="D1001" s="13" t="s">
        <v>554</v>
      </c>
      <c r="E1001" s="13" t="s">
        <v>113</v>
      </c>
      <c r="F1001" s="14">
        <f>F1002</f>
        <v>514.6</v>
      </c>
      <c r="G1001" s="14">
        <f>G1002</f>
        <v>514.6</v>
      </c>
      <c r="H1001" s="14">
        <f t="shared" si="152"/>
        <v>0</v>
      </c>
      <c r="I1001" s="77">
        <f t="shared" si="153"/>
        <v>100</v>
      </c>
      <c r="L1001" s="192"/>
      <c r="M1001" s="192"/>
      <c r="N1001" s="192"/>
      <c r="O1001" s="192"/>
      <c r="P1001" s="192"/>
      <c r="Q1001" s="192"/>
    </row>
    <row r="1002" spans="1:17" s="27" customFormat="1" ht="22.5" customHeight="1">
      <c r="A1002" s="46" t="s">
        <v>106</v>
      </c>
      <c r="B1002" s="13" t="s">
        <v>73</v>
      </c>
      <c r="C1002" s="13" t="s">
        <v>68</v>
      </c>
      <c r="D1002" s="13" t="s">
        <v>554</v>
      </c>
      <c r="E1002" s="13" t="s">
        <v>107</v>
      </c>
      <c r="F1002" s="14">
        <f>F1003</f>
        <v>514.6</v>
      </c>
      <c r="G1002" s="14">
        <f>G1003</f>
        <v>514.6</v>
      </c>
      <c r="H1002" s="14">
        <f t="shared" si="152"/>
        <v>0</v>
      </c>
      <c r="I1002" s="77">
        <f t="shared" si="153"/>
        <v>100</v>
      </c>
      <c r="L1002" s="192"/>
      <c r="M1002" s="192"/>
      <c r="N1002" s="192"/>
      <c r="O1002" s="192"/>
      <c r="P1002" s="192"/>
      <c r="Q1002" s="192"/>
    </row>
    <row r="1003" spans="1:17" s="27" customFormat="1" ht="22.5" customHeight="1">
      <c r="A1003" s="46" t="s">
        <v>108</v>
      </c>
      <c r="B1003" s="13" t="s">
        <v>73</v>
      </c>
      <c r="C1003" s="13" t="s">
        <v>68</v>
      </c>
      <c r="D1003" s="13" t="s">
        <v>554</v>
      </c>
      <c r="E1003" s="13" t="s">
        <v>109</v>
      </c>
      <c r="F1003" s="14">
        <f>'пр. 4 Вед'!G1065</f>
        <v>514.6</v>
      </c>
      <c r="G1003" s="14">
        <f>'пр. 4 Вед'!H1065</f>
        <v>514.6</v>
      </c>
      <c r="H1003" s="14">
        <f t="shared" si="152"/>
        <v>0</v>
      </c>
      <c r="I1003" s="77">
        <f t="shared" si="153"/>
        <v>100</v>
      </c>
      <c r="L1003" s="192"/>
      <c r="M1003" s="192"/>
      <c r="N1003" s="192"/>
      <c r="O1003" s="192"/>
      <c r="P1003" s="192"/>
      <c r="Q1003" s="192"/>
    </row>
    <row r="1004" spans="1:17" s="27" customFormat="1" ht="12.75">
      <c r="A1004" s="46" t="s">
        <v>137</v>
      </c>
      <c r="B1004" s="13" t="s">
        <v>73</v>
      </c>
      <c r="C1004" s="13" t="s">
        <v>68</v>
      </c>
      <c r="D1004" s="13" t="s">
        <v>554</v>
      </c>
      <c r="E1004" s="13" t="s">
        <v>138</v>
      </c>
      <c r="F1004" s="14">
        <f>F1005</f>
        <v>4.5</v>
      </c>
      <c r="G1004" s="14">
        <f>G1005</f>
        <v>4.5</v>
      </c>
      <c r="H1004" s="14">
        <f t="shared" si="152"/>
        <v>0</v>
      </c>
      <c r="I1004" s="77">
        <f t="shared" si="153"/>
        <v>100</v>
      </c>
      <c r="L1004" s="192"/>
      <c r="M1004" s="192"/>
      <c r="N1004" s="192"/>
      <c r="O1004" s="192"/>
      <c r="P1004" s="192"/>
      <c r="Q1004" s="192"/>
    </row>
    <row r="1005" spans="1:17" s="27" customFormat="1" ht="12.75">
      <c r="A1005" s="46" t="s">
        <v>140</v>
      </c>
      <c r="B1005" s="13" t="s">
        <v>73</v>
      </c>
      <c r="C1005" s="13" t="s">
        <v>68</v>
      </c>
      <c r="D1005" s="13" t="s">
        <v>554</v>
      </c>
      <c r="E1005" s="13" t="s">
        <v>141</v>
      </c>
      <c r="F1005" s="14">
        <f>F1006</f>
        <v>4.5</v>
      </c>
      <c r="G1005" s="14">
        <f>G1006</f>
        <v>4.5</v>
      </c>
      <c r="H1005" s="14">
        <f t="shared" si="152"/>
        <v>0</v>
      </c>
      <c r="I1005" s="77">
        <f t="shared" si="153"/>
        <v>100</v>
      </c>
      <c r="L1005" s="192"/>
      <c r="M1005" s="192"/>
      <c r="N1005" s="192"/>
      <c r="O1005" s="192"/>
      <c r="P1005" s="192"/>
      <c r="Q1005" s="192"/>
    </row>
    <row r="1006" spans="1:17" s="27" customFormat="1" ht="12.75">
      <c r="A1006" s="46" t="s">
        <v>142</v>
      </c>
      <c r="B1006" s="13" t="s">
        <v>73</v>
      </c>
      <c r="C1006" s="13" t="s">
        <v>68</v>
      </c>
      <c r="D1006" s="13" t="s">
        <v>554</v>
      </c>
      <c r="E1006" s="13" t="s">
        <v>143</v>
      </c>
      <c r="F1006" s="14">
        <f>'пр. 4 Вед'!G1068</f>
        <v>4.5</v>
      </c>
      <c r="G1006" s="14">
        <f>'пр. 4 Вед'!H1068</f>
        <v>4.5</v>
      </c>
      <c r="H1006" s="14">
        <f t="shared" si="152"/>
        <v>0</v>
      </c>
      <c r="I1006" s="77">
        <f t="shared" si="153"/>
        <v>100</v>
      </c>
      <c r="L1006" s="192"/>
      <c r="M1006" s="192"/>
      <c r="N1006" s="192"/>
      <c r="O1006" s="192"/>
      <c r="P1006" s="192"/>
      <c r="Q1006" s="192"/>
    </row>
    <row r="1007" spans="1:17" s="27" customFormat="1" ht="12.75" customHeight="1">
      <c r="A1007" s="46" t="s">
        <v>527</v>
      </c>
      <c r="B1007" s="13" t="s">
        <v>73</v>
      </c>
      <c r="C1007" s="13" t="s">
        <v>68</v>
      </c>
      <c r="D1007" s="13" t="s">
        <v>555</v>
      </c>
      <c r="E1007" s="13"/>
      <c r="F1007" s="14">
        <f>F1008+F1013+F1016</f>
        <v>4093.7</v>
      </c>
      <c r="G1007" s="14">
        <f>G1008+G1013+G1016</f>
        <v>4029.0999999999995</v>
      </c>
      <c r="H1007" s="14">
        <f t="shared" si="152"/>
        <v>64.60000000000036</v>
      </c>
      <c r="I1007" s="77">
        <f t="shared" si="153"/>
        <v>98.4219654591201</v>
      </c>
      <c r="L1007" s="192"/>
      <c r="M1007" s="192"/>
      <c r="N1007" s="192"/>
      <c r="O1007" s="192"/>
      <c r="P1007" s="192"/>
      <c r="Q1007" s="192"/>
    </row>
    <row r="1008" spans="1:17" s="27" customFormat="1" ht="12.75" customHeight="1">
      <c r="A1008" s="46" t="s">
        <v>110</v>
      </c>
      <c r="B1008" s="13" t="s">
        <v>73</v>
      </c>
      <c r="C1008" s="13" t="s">
        <v>68</v>
      </c>
      <c r="D1008" s="13" t="s">
        <v>555</v>
      </c>
      <c r="E1008" s="13" t="s">
        <v>111</v>
      </c>
      <c r="F1008" s="14">
        <f>F1009</f>
        <v>2511.9</v>
      </c>
      <c r="G1008" s="14">
        <f>G1009</f>
        <v>2507.3999999999996</v>
      </c>
      <c r="H1008" s="14">
        <f t="shared" si="152"/>
        <v>4.500000000000455</v>
      </c>
      <c r="I1008" s="77">
        <f t="shared" si="153"/>
        <v>99.82085274095304</v>
      </c>
      <c r="L1008" s="192"/>
      <c r="M1008" s="192"/>
      <c r="N1008" s="192"/>
      <c r="O1008" s="192"/>
      <c r="P1008" s="192"/>
      <c r="Q1008" s="192"/>
    </row>
    <row r="1009" spans="1:17" s="27" customFormat="1" ht="12.75">
      <c r="A1009" s="69" t="s">
        <v>406</v>
      </c>
      <c r="B1009" s="13" t="s">
        <v>73</v>
      </c>
      <c r="C1009" s="13" t="s">
        <v>68</v>
      </c>
      <c r="D1009" s="13" t="s">
        <v>555</v>
      </c>
      <c r="E1009" s="13" t="s">
        <v>408</v>
      </c>
      <c r="F1009" s="14">
        <f>F1010+F1011+F1012</f>
        <v>2511.9</v>
      </c>
      <c r="G1009" s="14">
        <f>G1010+G1011+G1012</f>
        <v>2507.3999999999996</v>
      </c>
      <c r="H1009" s="14">
        <f t="shared" si="152"/>
        <v>4.500000000000455</v>
      </c>
      <c r="I1009" s="77">
        <f t="shared" si="153"/>
        <v>99.82085274095304</v>
      </c>
      <c r="L1009" s="192"/>
      <c r="M1009" s="192"/>
      <c r="N1009" s="192"/>
      <c r="O1009" s="192"/>
      <c r="P1009" s="192"/>
      <c r="Q1009" s="192"/>
    </row>
    <row r="1010" spans="1:17" s="27" customFormat="1" ht="12.75">
      <c r="A1010" s="46" t="s">
        <v>573</v>
      </c>
      <c r="B1010" s="13" t="s">
        <v>73</v>
      </c>
      <c r="C1010" s="13" t="s">
        <v>68</v>
      </c>
      <c r="D1010" s="13" t="s">
        <v>555</v>
      </c>
      <c r="E1010" s="13" t="s">
        <v>409</v>
      </c>
      <c r="F1010" s="14">
        <f>'пр. 4 Вед'!G1072</f>
        <v>1906.3</v>
      </c>
      <c r="G1010" s="14">
        <f>'пр. 4 Вед'!H1072</f>
        <v>1906.3</v>
      </c>
      <c r="H1010" s="14">
        <f t="shared" si="152"/>
        <v>0</v>
      </c>
      <c r="I1010" s="77">
        <f t="shared" si="153"/>
        <v>100</v>
      </c>
      <c r="L1010" s="192"/>
      <c r="M1010" s="192"/>
      <c r="N1010" s="192"/>
      <c r="O1010" s="192"/>
      <c r="P1010" s="192"/>
      <c r="Q1010" s="192"/>
    </row>
    <row r="1011" spans="1:17" s="27" customFormat="1" ht="12.75">
      <c r="A1011" s="46" t="s">
        <v>574</v>
      </c>
      <c r="B1011" s="13" t="s">
        <v>73</v>
      </c>
      <c r="C1011" s="13" t="s">
        <v>68</v>
      </c>
      <c r="D1011" s="13" t="s">
        <v>555</v>
      </c>
      <c r="E1011" s="13" t="s">
        <v>407</v>
      </c>
      <c r="F1011" s="14">
        <f>'пр. 4 Вед'!G1073</f>
        <v>31</v>
      </c>
      <c r="G1011" s="14">
        <f>'пр. 4 Вед'!H1073</f>
        <v>26.6</v>
      </c>
      <c r="H1011" s="14">
        <f t="shared" si="152"/>
        <v>4.399999999999999</v>
      </c>
      <c r="I1011" s="77">
        <f t="shared" si="153"/>
        <v>85.80645161290323</v>
      </c>
      <c r="L1011" s="192"/>
      <c r="M1011" s="192"/>
      <c r="N1011" s="192"/>
      <c r="O1011" s="192"/>
      <c r="P1011" s="192"/>
      <c r="Q1011" s="192"/>
    </row>
    <row r="1012" spans="1:17" s="27" customFormat="1" ht="25.5">
      <c r="A1012" s="46" t="s">
        <v>576</v>
      </c>
      <c r="B1012" s="13" t="s">
        <v>73</v>
      </c>
      <c r="C1012" s="13" t="s">
        <v>68</v>
      </c>
      <c r="D1012" s="13" t="s">
        <v>555</v>
      </c>
      <c r="E1012" s="13" t="s">
        <v>410</v>
      </c>
      <c r="F1012" s="14">
        <f>'пр. 4 Вед'!G1074</f>
        <v>574.6</v>
      </c>
      <c r="G1012" s="14">
        <f>'пр. 4 Вед'!H1074</f>
        <v>574.5</v>
      </c>
      <c r="H1012" s="14">
        <f t="shared" si="152"/>
        <v>0.10000000000002274</v>
      </c>
      <c r="I1012" s="77">
        <f t="shared" si="153"/>
        <v>99.98259658893143</v>
      </c>
      <c r="L1012" s="192"/>
      <c r="M1012" s="192"/>
      <c r="N1012" s="192"/>
      <c r="O1012" s="192"/>
      <c r="P1012" s="192"/>
      <c r="Q1012" s="192"/>
    </row>
    <row r="1013" spans="1:17" s="27" customFormat="1" ht="12.75">
      <c r="A1013" s="46" t="s">
        <v>770</v>
      </c>
      <c r="B1013" s="13" t="s">
        <v>73</v>
      </c>
      <c r="C1013" s="13" t="s">
        <v>68</v>
      </c>
      <c r="D1013" s="13" t="s">
        <v>555</v>
      </c>
      <c r="E1013" s="13" t="s">
        <v>113</v>
      </c>
      <c r="F1013" s="14">
        <f>F1014</f>
        <v>1571.1000000000001</v>
      </c>
      <c r="G1013" s="14">
        <f>G1014</f>
        <v>1511</v>
      </c>
      <c r="H1013" s="14">
        <f t="shared" si="152"/>
        <v>60.100000000000136</v>
      </c>
      <c r="I1013" s="77">
        <f t="shared" si="153"/>
        <v>96.17465470052828</v>
      </c>
      <c r="L1013" s="192"/>
      <c r="M1013" s="192"/>
      <c r="N1013" s="192"/>
      <c r="O1013" s="192"/>
      <c r="P1013" s="192"/>
      <c r="Q1013" s="192"/>
    </row>
    <row r="1014" spans="1:17" s="27" customFormat="1" ht="23.25" customHeight="1">
      <c r="A1014" s="46" t="s">
        <v>106</v>
      </c>
      <c r="B1014" s="13" t="s">
        <v>73</v>
      </c>
      <c r="C1014" s="13" t="s">
        <v>68</v>
      </c>
      <c r="D1014" s="13" t="s">
        <v>555</v>
      </c>
      <c r="E1014" s="13" t="s">
        <v>107</v>
      </c>
      <c r="F1014" s="14">
        <f>F1015</f>
        <v>1571.1000000000001</v>
      </c>
      <c r="G1014" s="14">
        <f>G1015</f>
        <v>1511</v>
      </c>
      <c r="H1014" s="14">
        <f t="shared" si="152"/>
        <v>60.100000000000136</v>
      </c>
      <c r="I1014" s="77">
        <f t="shared" si="153"/>
        <v>96.17465470052828</v>
      </c>
      <c r="L1014" s="192"/>
      <c r="M1014" s="192"/>
      <c r="N1014" s="192"/>
      <c r="O1014" s="192"/>
      <c r="P1014" s="192"/>
      <c r="Q1014" s="192"/>
    </row>
    <row r="1015" spans="1:17" s="27" customFormat="1" ht="23.25" customHeight="1">
      <c r="A1015" s="46" t="s">
        <v>108</v>
      </c>
      <c r="B1015" s="13" t="s">
        <v>73</v>
      </c>
      <c r="C1015" s="13" t="s">
        <v>68</v>
      </c>
      <c r="D1015" s="13" t="s">
        <v>555</v>
      </c>
      <c r="E1015" s="13" t="s">
        <v>109</v>
      </c>
      <c r="F1015" s="14">
        <f>'пр. 4 Вед'!G1077</f>
        <v>1571.1000000000001</v>
      </c>
      <c r="G1015" s="14">
        <f>'пр. 4 Вед'!H1077</f>
        <v>1511</v>
      </c>
      <c r="H1015" s="14">
        <f t="shared" si="152"/>
        <v>60.100000000000136</v>
      </c>
      <c r="I1015" s="77">
        <f t="shared" si="153"/>
        <v>96.17465470052828</v>
      </c>
      <c r="L1015" s="192"/>
      <c r="M1015" s="192"/>
      <c r="N1015" s="192"/>
      <c r="O1015" s="192"/>
      <c r="P1015" s="192"/>
      <c r="Q1015" s="192"/>
    </row>
    <row r="1016" spans="1:17" s="27" customFormat="1" ht="12.75">
      <c r="A1016" s="46" t="s">
        <v>137</v>
      </c>
      <c r="B1016" s="13" t="s">
        <v>73</v>
      </c>
      <c r="C1016" s="13" t="s">
        <v>68</v>
      </c>
      <c r="D1016" s="13" t="s">
        <v>555</v>
      </c>
      <c r="E1016" s="13" t="s">
        <v>138</v>
      </c>
      <c r="F1016" s="14">
        <f>F1017</f>
        <v>10.7</v>
      </c>
      <c r="G1016" s="14">
        <f>G1017</f>
        <v>10.7</v>
      </c>
      <c r="H1016" s="14">
        <f t="shared" si="152"/>
        <v>0</v>
      </c>
      <c r="I1016" s="77">
        <f t="shared" si="153"/>
        <v>100</v>
      </c>
      <c r="L1016" s="192"/>
      <c r="M1016" s="192"/>
      <c r="N1016" s="192"/>
      <c r="O1016" s="192"/>
      <c r="P1016" s="192"/>
      <c r="Q1016" s="192"/>
    </row>
    <row r="1017" spans="1:17" s="27" customFormat="1" ht="12.75">
      <c r="A1017" s="46" t="s">
        <v>140</v>
      </c>
      <c r="B1017" s="13" t="s">
        <v>73</v>
      </c>
      <c r="C1017" s="13" t="s">
        <v>68</v>
      </c>
      <c r="D1017" s="13" t="s">
        <v>555</v>
      </c>
      <c r="E1017" s="13" t="s">
        <v>141</v>
      </c>
      <c r="F1017" s="14">
        <f>F1018+F1019</f>
        <v>10.7</v>
      </c>
      <c r="G1017" s="14">
        <f>G1018+G1019</f>
        <v>10.7</v>
      </c>
      <c r="H1017" s="14">
        <f t="shared" si="152"/>
        <v>0</v>
      </c>
      <c r="I1017" s="77">
        <f t="shared" si="153"/>
        <v>100</v>
      </c>
      <c r="L1017" s="192"/>
      <c r="M1017" s="192"/>
      <c r="N1017" s="192"/>
      <c r="O1017" s="192"/>
      <c r="P1017" s="192"/>
      <c r="Q1017" s="192"/>
    </row>
    <row r="1018" spans="1:17" s="27" customFormat="1" ht="12.75">
      <c r="A1018" s="46" t="s">
        <v>142</v>
      </c>
      <c r="B1018" s="13" t="s">
        <v>73</v>
      </c>
      <c r="C1018" s="13" t="s">
        <v>68</v>
      </c>
      <c r="D1018" s="13" t="s">
        <v>555</v>
      </c>
      <c r="E1018" s="13" t="s">
        <v>143</v>
      </c>
      <c r="F1018" s="14">
        <f>'пр. 4 Вед'!G1080</f>
        <v>7.5</v>
      </c>
      <c r="G1018" s="14">
        <f>'пр. 4 Вед'!H1080</f>
        <v>7.5</v>
      </c>
      <c r="H1018" s="14">
        <f t="shared" si="152"/>
        <v>0</v>
      </c>
      <c r="I1018" s="77">
        <f t="shared" si="153"/>
        <v>100</v>
      </c>
      <c r="L1018" s="192"/>
      <c r="M1018" s="192"/>
      <c r="N1018" s="192"/>
      <c r="O1018" s="192"/>
      <c r="P1018" s="192"/>
      <c r="Q1018" s="192"/>
    </row>
    <row r="1019" spans="1:17" s="27" customFormat="1" ht="12.75">
      <c r="A1019" s="46" t="s">
        <v>179</v>
      </c>
      <c r="B1019" s="13" t="s">
        <v>73</v>
      </c>
      <c r="C1019" s="13" t="s">
        <v>68</v>
      </c>
      <c r="D1019" s="13" t="s">
        <v>555</v>
      </c>
      <c r="E1019" s="13" t="s">
        <v>144</v>
      </c>
      <c r="F1019" s="14">
        <f>'пр. 4 Вед'!G1081</f>
        <v>3.2</v>
      </c>
      <c r="G1019" s="14">
        <f>'пр. 4 Вед'!H1081</f>
        <v>3.2</v>
      </c>
      <c r="H1019" s="14">
        <f t="shared" si="152"/>
        <v>0</v>
      </c>
      <c r="I1019" s="77">
        <f t="shared" si="153"/>
        <v>100</v>
      </c>
      <c r="L1019" s="192"/>
      <c r="M1019" s="192"/>
      <c r="N1019" s="192"/>
      <c r="O1019" s="192"/>
      <c r="P1019" s="192"/>
      <c r="Q1019" s="192"/>
    </row>
    <row r="1020" spans="1:17" s="27" customFormat="1" ht="12.75">
      <c r="A1020" s="60" t="s">
        <v>62</v>
      </c>
      <c r="B1020" s="29" t="s">
        <v>71</v>
      </c>
      <c r="C1020" s="29" t="s">
        <v>36</v>
      </c>
      <c r="D1020" s="13"/>
      <c r="E1020" s="13"/>
      <c r="F1020" s="30">
        <f>F1021+F1027+F1057</f>
        <v>12631.6</v>
      </c>
      <c r="G1020" s="30">
        <f>G1021+G1027+G1057</f>
        <v>11887.83</v>
      </c>
      <c r="H1020" s="30">
        <f t="shared" si="152"/>
        <v>743.7700000000004</v>
      </c>
      <c r="I1020" s="82">
        <f t="shared" si="153"/>
        <v>94.11183064694892</v>
      </c>
      <c r="L1020" s="192"/>
      <c r="M1020" s="192"/>
      <c r="N1020" s="192"/>
      <c r="O1020" s="192"/>
      <c r="P1020" s="192"/>
      <c r="Q1020" s="192"/>
    </row>
    <row r="1021" spans="1:17" s="27" customFormat="1" ht="12.75">
      <c r="A1021" s="60" t="s">
        <v>58</v>
      </c>
      <c r="B1021" s="29" t="s">
        <v>71</v>
      </c>
      <c r="C1021" s="29" t="s">
        <v>66</v>
      </c>
      <c r="D1021" s="13"/>
      <c r="E1021" s="13"/>
      <c r="F1021" s="30">
        <f aca="true" t="shared" si="154" ref="F1021:G1025">F1022</f>
        <v>3000</v>
      </c>
      <c r="G1021" s="30">
        <f t="shared" si="154"/>
        <v>2910.1</v>
      </c>
      <c r="H1021" s="30">
        <f t="shared" si="152"/>
        <v>89.90000000000009</v>
      </c>
      <c r="I1021" s="82">
        <f t="shared" si="153"/>
        <v>97.00333333333333</v>
      </c>
      <c r="L1021" s="192"/>
      <c r="M1021" s="192"/>
      <c r="N1021" s="192"/>
      <c r="O1021" s="192"/>
      <c r="P1021" s="192"/>
      <c r="Q1021" s="192"/>
    </row>
    <row r="1022" spans="1:17" s="27" customFormat="1" ht="12.75">
      <c r="A1022" s="46" t="s">
        <v>18</v>
      </c>
      <c r="B1022" s="13" t="s">
        <v>71</v>
      </c>
      <c r="C1022" s="13" t="s">
        <v>66</v>
      </c>
      <c r="D1022" s="13" t="s">
        <v>253</v>
      </c>
      <c r="E1022" s="13"/>
      <c r="F1022" s="14">
        <f t="shared" si="154"/>
        <v>3000</v>
      </c>
      <c r="G1022" s="14">
        <f t="shared" si="154"/>
        <v>2910.1</v>
      </c>
      <c r="H1022" s="14">
        <f t="shared" si="152"/>
        <v>89.90000000000009</v>
      </c>
      <c r="I1022" s="77">
        <f t="shared" si="153"/>
        <v>97.00333333333333</v>
      </c>
      <c r="L1022" s="192"/>
      <c r="M1022" s="192"/>
      <c r="N1022" s="192"/>
      <c r="O1022" s="192"/>
      <c r="P1022" s="192"/>
      <c r="Q1022" s="192"/>
    </row>
    <row r="1023" spans="1:17" s="27" customFormat="1" ht="12.75">
      <c r="A1023" s="46" t="s">
        <v>544</v>
      </c>
      <c r="B1023" s="13" t="s">
        <v>71</v>
      </c>
      <c r="C1023" s="13" t="s">
        <v>66</v>
      </c>
      <c r="D1023" s="13" t="s">
        <v>547</v>
      </c>
      <c r="E1023" s="13"/>
      <c r="F1023" s="14">
        <f t="shared" si="154"/>
        <v>3000</v>
      </c>
      <c r="G1023" s="14">
        <f t="shared" si="154"/>
        <v>2910.1</v>
      </c>
      <c r="H1023" s="14">
        <f t="shared" si="152"/>
        <v>89.90000000000009</v>
      </c>
      <c r="I1023" s="77">
        <f t="shared" si="153"/>
        <v>97.00333333333333</v>
      </c>
      <c r="L1023" s="192"/>
      <c r="M1023" s="192"/>
      <c r="N1023" s="192"/>
      <c r="O1023" s="192"/>
      <c r="P1023" s="192"/>
      <c r="Q1023" s="192"/>
    </row>
    <row r="1024" spans="1:17" s="27" customFormat="1" ht="12.75">
      <c r="A1024" s="46" t="s">
        <v>126</v>
      </c>
      <c r="B1024" s="13" t="s">
        <v>71</v>
      </c>
      <c r="C1024" s="13" t="s">
        <v>66</v>
      </c>
      <c r="D1024" s="13" t="s">
        <v>547</v>
      </c>
      <c r="E1024" s="13" t="s">
        <v>127</v>
      </c>
      <c r="F1024" s="14">
        <f t="shared" si="154"/>
        <v>3000</v>
      </c>
      <c r="G1024" s="14">
        <f t="shared" si="154"/>
        <v>2910.1</v>
      </c>
      <c r="H1024" s="14">
        <f t="shared" si="152"/>
        <v>89.90000000000009</v>
      </c>
      <c r="I1024" s="77">
        <f t="shared" si="153"/>
        <v>97.00333333333333</v>
      </c>
      <c r="L1024" s="192"/>
      <c r="M1024" s="192"/>
      <c r="N1024" s="192"/>
      <c r="O1024" s="192"/>
      <c r="P1024" s="192"/>
      <c r="Q1024" s="192"/>
    </row>
    <row r="1025" spans="1:17" s="27" customFormat="1" ht="18.75" customHeight="1">
      <c r="A1025" s="46" t="s">
        <v>128</v>
      </c>
      <c r="B1025" s="13" t="s">
        <v>71</v>
      </c>
      <c r="C1025" s="13" t="s">
        <v>66</v>
      </c>
      <c r="D1025" s="13" t="s">
        <v>547</v>
      </c>
      <c r="E1025" s="13" t="s">
        <v>129</v>
      </c>
      <c r="F1025" s="14">
        <f t="shared" si="154"/>
        <v>3000</v>
      </c>
      <c r="G1025" s="14">
        <f t="shared" si="154"/>
        <v>2910.1</v>
      </c>
      <c r="H1025" s="14">
        <f t="shared" si="152"/>
        <v>89.90000000000009</v>
      </c>
      <c r="I1025" s="77">
        <f t="shared" si="153"/>
        <v>97.00333333333333</v>
      </c>
      <c r="L1025" s="192"/>
      <c r="M1025" s="192"/>
      <c r="N1025" s="192"/>
      <c r="O1025" s="192"/>
      <c r="P1025" s="192"/>
      <c r="Q1025" s="192"/>
    </row>
    <row r="1026" spans="1:17" s="27" customFormat="1" ht="12.75">
      <c r="A1026" s="46" t="s">
        <v>130</v>
      </c>
      <c r="B1026" s="13" t="s">
        <v>71</v>
      </c>
      <c r="C1026" s="13" t="s">
        <v>66</v>
      </c>
      <c r="D1026" s="13" t="s">
        <v>547</v>
      </c>
      <c r="E1026" s="13" t="s">
        <v>131</v>
      </c>
      <c r="F1026" s="14">
        <f>'пр. 4 Вед'!G276</f>
        <v>3000</v>
      </c>
      <c r="G1026" s="14">
        <f>'пр. 4 Вед'!H276</f>
        <v>2910.1</v>
      </c>
      <c r="H1026" s="14">
        <f t="shared" si="152"/>
        <v>89.90000000000009</v>
      </c>
      <c r="I1026" s="77">
        <f t="shared" si="153"/>
        <v>97.00333333333333</v>
      </c>
      <c r="L1026" s="192"/>
      <c r="M1026" s="192"/>
      <c r="N1026" s="192"/>
      <c r="O1026" s="192"/>
      <c r="P1026" s="192"/>
      <c r="Q1026" s="192"/>
    </row>
    <row r="1027" spans="1:17" s="27" customFormat="1" ht="12.75">
      <c r="A1027" s="60" t="s">
        <v>61</v>
      </c>
      <c r="B1027" s="37" t="s">
        <v>71</v>
      </c>
      <c r="C1027" s="37" t="s">
        <v>70</v>
      </c>
      <c r="D1027" s="12"/>
      <c r="E1027" s="12"/>
      <c r="F1027" s="10">
        <f>F1028+F1042+F1052</f>
        <v>6654</v>
      </c>
      <c r="G1027" s="10">
        <f>G1028+G1042+G1052</f>
        <v>6650.83</v>
      </c>
      <c r="H1027" s="30">
        <f t="shared" si="152"/>
        <v>3.1700000000000728</v>
      </c>
      <c r="I1027" s="82">
        <f t="shared" si="153"/>
        <v>99.95235948301773</v>
      </c>
      <c r="L1027" s="192"/>
      <c r="M1027" s="192"/>
      <c r="N1027" s="192"/>
      <c r="O1027" s="192"/>
      <c r="P1027" s="192"/>
      <c r="Q1027" s="192"/>
    </row>
    <row r="1028" spans="1:17" s="27" customFormat="1" ht="25.5">
      <c r="A1028" s="46" t="s">
        <v>565</v>
      </c>
      <c r="B1028" s="13" t="s">
        <v>71</v>
      </c>
      <c r="C1028" s="13" t="s">
        <v>70</v>
      </c>
      <c r="D1028" s="45" t="s">
        <v>186</v>
      </c>
      <c r="E1028" s="13"/>
      <c r="F1028" s="14">
        <f>F1029</f>
        <v>841.5000000000001</v>
      </c>
      <c r="G1028" s="14">
        <f>G1029</f>
        <v>838.4000000000001</v>
      </c>
      <c r="H1028" s="14">
        <f t="shared" si="152"/>
        <v>3.1000000000000227</v>
      </c>
      <c r="I1028" s="77">
        <f t="shared" si="153"/>
        <v>99.63161021984551</v>
      </c>
      <c r="L1028" s="192"/>
      <c r="M1028" s="192"/>
      <c r="N1028" s="192"/>
      <c r="O1028" s="192"/>
      <c r="P1028" s="192"/>
      <c r="Q1028" s="192"/>
    </row>
    <row r="1029" spans="1:17" s="27" customFormat="1" ht="16.5" customHeight="1">
      <c r="A1029" s="46" t="s">
        <v>281</v>
      </c>
      <c r="B1029" s="13" t="s">
        <v>71</v>
      </c>
      <c r="C1029" s="13" t="s">
        <v>70</v>
      </c>
      <c r="D1029" s="45" t="s">
        <v>436</v>
      </c>
      <c r="E1029" s="13"/>
      <c r="F1029" s="14">
        <f>F1030+F1036+F1039+F1033</f>
        <v>841.5000000000001</v>
      </c>
      <c r="G1029" s="14">
        <f>G1030+G1036+G1039+G1033</f>
        <v>838.4000000000001</v>
      </c>
      <c r="H1029" s="14">
        <f t="shared" si="152"/>
        <v>3.1000000000000227</v>
      </c>
      <c r="I1029" s="77">
        <f t="shared" si="153"/>
        <v>99.63161021984551</v>
      </c>
      <c r="L1029" s="192"/>
      <c r="M1029" s="192"/>
      <c r="N1029" s="192"/>
      <c r="O1029" s="192"/>
      <c r="P1029" s="192"/>
      <c r="Q1029" s="192"/>
    </row>
    <row r="1030" spans="1:17" s="27" customFormat="1" ht="12.75">
      <c r="A1030" s="46" t="s">
        <v>187</v>
      </c>
      <c r="B1030" s="13" t="s">
        <v>71</v>
      </c>
      <c r="C1030" s="13" t="s">
        <v>70</v>
      </c>
      <c r="D1030" s="45" t="s">
        <v>437</v>
      </c>
      <c r="E1030" s="13"/>
      <c r="F1030" s="11">
        <f>F1031</f>
        <v>623.7</v>
      </c>
      <c r="G1030" s="11">
        <f>G1031</f>
        <v>620.7</v>
      </c>
      <c r="H1030" s="14">
        <f t="shared" si="152"/>
        <v>3</v>
      </c>
      <c r="I1030" s="77">
        <f t="shared" si="153"/>
        <v>99.51899951899952</v>
      </c>
      <c r="L1030" s="192"/>
      <c r="M1030" s="192"/>
      <c r="N1030" s="192"/>
      <c r="O1030" s="192"/>
      <c r="P1030" s="192"/>
      <c r="Q1030" s="192"/>
    </row>
    <row r="1031" spans="1:17" s="27" customFormat="1" ht="12.75">
      <c r="A1031" s="46" t="s">
        <v>126</v>
      </c>
      <c r="B1031" s="13" t="s">
        <v>71</v>
      </c>
      <c r="C1031" s="13" t="s">
        <v>70</v>
      </c>
      <c r="D1031" s="45" t="s">
        <v>437</v>
      </c>
      <c r="E1031" s="13" t="s">
        <v>127</v>
      </c>
      <c r="F1031" s="11">
        <f>F1032</f>
        <v>623.7</v>
      </c>
      <c r="G1031" s="11">
        <f>G1032</f>
        <v>620.7</v>
      </c>
      <c r="H1031" s="14">
        <f t="shared" si="152"/>
        <v>3</v>
      </c>
      <c r="I1031" s="77">
        <f t="shared" si="153"/>
        <v>99.51899951899952</v>
      </c>
      <c r="L1031" s="192"/>
      <c r="M1031" s="192"/>
      <c r="N1031" s="192"/>
      <c r="O1031" s="192"/>
      <c r="P1031" s="192"/>
      <c r="Q1031" s="192"/>
    </row>
    <row r="1032" spans="1:17" s="27" customFormat="1" ht="12.75">
      <c r="A1032" s="46" t="s">
        <v>132</v>
      </c>
      <c r="B1032" s="13" t="s">
        <v>71</v>
      </c>
      <c r="C1032" s="13" t="s">
        <v>70</v>
      </c>
      <c r="D1032" s="45" t="s">
        <v>437</v>
      </c>
      <c r="E1032" s="13" t="s">
        <v>133</v>
      </c>
      <c r="F1032" s="11">
        <f>'пр. 4 Вед'!G282</f>
        <v>623.7</v>
      </c>
      <c r="G1032" s="11">
        <f>'пр. 4 Вед'!H282</f>
        <v>620.7</v>
      </c>
      <c r="H1032" s="14">
        <f t="shared" si="152"/>
        <v>3</v>
      </c>
      <c r="I1032" s="77">
        <f t="shared" si="153"/>
        <v>99.51899951899952</v>
      </c>
      <c r="L1032" s="192"/>
      <c r="M1032" s="192"/>
      <c r="N1032" s="192"/>
      <c r="O1032" s="192"/>
      <c r="P1032" s="192"/>
      <c r="Q1032" s="192"/>
    </row>
    <row r="1033" spans="1:17" s="27" customFormat="1" ht="12.75">
      <c r="A1033" s="46" t="s">
        <v>188</v>
      </c>
      <c r="B1033" s="13" t="s">
        <v>71</v>
      </c>
      <c r="C1033" s="13" t="s">
        <v>70</v>
      </c>
      <c r="D1033" s="45" t="s">
        <v>438</v>
      </c>
      <c r="E1033" s="13"/>
      <c r="F1033" s="11">
        <f>F1034</f>
        <v>9.6</v>
      </c>
      <c r="G1033" s="11">
        <f>G1034</f>
        <v>9.6</v>
      </c>
      <c r="H1033" s="14">
        <f aca="true" t="shared" si="155" ref="H1033:H1096">F1033-G1033</f>
        <v>0</v>
      </c>
      <c r="I1033" s="77">
        <f aca="true" t="shared" si="156" ref="I1033:I1096">G1033/F1033*100</f>
        <v>100</v>
      </c>
      <c r="L1033" s="192"/>
      <c r="M1033" s="192"/>
      <c r="N1033" s="192"/>
      <c r="O1033" s="192"/>
      <c r="P1033" s="192"/>
      <c r="Q1033" s="192"/>
    </row>
    <row r="1034" spans="1:17" s="27" customFormat="1" ht="12.75">
      <c r="A1034" s="46" t="s">
        <v>126</v>
      </c>
      <c r="B1034" s="13" t="s">
        <v>71</v>
      </c>
      <c r="C1034" s="13" t="s">
        <v>70</v>
      </c>
      <c r="D1034" s="45" t="s">
        <v>438</v>
      </c>
      <c r="E1034" s="13" t="s">
        <v>127</v>
      </c>
      <c r="F1034" s="11">
        <f>F1035</f>
        <v>9.6</v>
      </c>
      <c r="G1034" s="11">
        <f>G1035</f>
        <v>9.6</v>
      </c>
      <c r="H1034" s="14">
        <f t="shared" si="155"/>
        <v>0</v>
      </c>
      <c r="I1034" s="77">
        <f t="shared" si="156"/>
        <v>100</v>
      </c>
      <c r="L1034" s="192"/>
      <c r="M1034" s="192"/>
      <c r="N1034" s="192"/>
      <c r="O1034" s="192"/>
      <c r="P1034" s="192"/>
      <c r="Q1034" s="192"/>
    </row>
    <row r="1035" spans="1:17" s="27" customFormat="1" ht="12.75">
      <c r="A1035" s="46" t="s">
        <v>132</v>
      </c>
      <c r="B1035" s="13" t="s">
        <v>71</v>
      </c>
      <c r="C1035" s="13" t="s">
        <v>70</v>
      </c>
      <c r="D1035" s="45" t="s">
        <v>438</v>
      </c>
      <c r="E1035" s="13" t="s">
        <v>133</v>
      </c>
      <c r="F1035" s="11">
        <f>'пр. 4 Вед'!G285</f>
        <v>9.6</v>
      </c>
      <c r="G1035" s="11">
        <f>'пр. 4 Вед'!H285</f>
        <v>9.6</v>
      </c>
      <c r="H1035" s="14">
        <f t="shared" si="155"/>
        <v>0</v>
      </c>
      <c r="I1035" s="77">
        <f t="shared" si="156"/>
        <v>100</v>
      </c>
      <c r="L1035" s="192"/>
      <c r="M1035" s="192"/>
      <c r="N1035" s="192"/>
      <c r="O1035" s="192"/>
      <c r="P1035" s="192"/>
      <c r="Q1035" s="192"/>
    </row>
    <row r="1036" spans="1:17" s="27" customFormat="1" ht="38.25">
      <c r="A1036" s="46" t="s">
        <v>189</v>
      </c>
      <c r="B1036" s="13" t="s">
        <v>71</v>
      </c>
      <c r="C1036" s="13" t="s">
        <v>70</v>
      </c>
      <c r="D1036" s="45" t="s">
        <v>439</v>
      </c>
      <c r="E1036" s="13"/>
      <c r="F1036" s="11">
        <f>F1037</f>
        <v>138</v>
      </c>
      <c r="G1036" s="11">
        <f>G1037</f>
        <v>137.9</v>
      </c>
      <c r="H1036" s="14">
        <f t="shared" si="155"/>
        <v>0.09999999999999432</v>
      </c>
      <c r="I1036" s="77">
        <f t="shared" si="156"/>
        <v>99.92753623188406</v>
      </c>
      <c r="L1036" s="192"/>
      <c r="M1036" s="192"/>
      <c r="N1036" s="192"/>
      <c r="O1036" s="192"/>
      <c r="P1036" s="192"/>
      <c r="Q1036" s="192"/>
    </row>
    <row r="1037" spans="1:17" s="27" customFormat="1" ht="12.75">
      <c r="A1037" s="46" t="s">
        <v>126</v>
      </c>
      <c r="B1037" s="13" t="s">
        <v>71</v>
      </c>
      <c r="C1037" s="13" t="s">
        <v>70</v>
      </c>
      <c r="D1037" s="45" t="s">
        <v>439</v>
      </c>
      <c r="E1037" s="13" t="s">
        <v>127</v>
      </c>
      <c r="F1037" s="11">
        <f>F1038</f>
        <v>138</v>
      </c>
      <c r="G1037" s="11">
        <f>G1038</f>
        <v>137.9</v>
      </c>
      <c r="H1037" s="14">
        <f t="shared" si="155"/>
        <v>0.09999999999999432</v>
      </c>
      <c r="I1037" s="77">
        <f t="shared" si="156"/>
        <v>99.92753623188406</v>
      </c>
      <c r="L1037" s="192"/>
      <c r="M1037" s="192"/>
      <c r="N1037" s="192"/>
      <c r="O1037" s="192"/>
      <c r="P1037" s="192"/>
      <c r="Q1037" s="192"/>
    </row>
    <row r="1038" spans="1:17" s="27" customFormat="1" ht="12.75">
      <c r="A1038" s="46" t="s">
        <v>132</v>
      </c>
      <c r="B1038" s="13" t="s">
        <v>71</v>
      </c>
      <c r="C1038" s="13" t="s">
        <v>70</v>
      </c>
      <c r="D1038" s="45" t="s">
        <v>439</v>
      </c>
      <c r="E1038" s="13" t="s">
        <v>133</v>
      </c>
      <c r="F1038" s="11">
        <f>'пр. 4 Вед'!G288</f>
        <v>138</v>
      </c>
      <c r="G1038" s="11">
        <f>'пр. 4 Вед'!H288</f>
        <v>137.9</v>
      </c>
      <c r="H1038" s="14">
        <f t="shared" si="155"/>
        <v>0.09999999999999432</v>
      </c>
      <c r="I1038" s="77">
        <f t="shared" si="156"/>
        <v>99.92753623188406</v>
      </c>
      <c r="L1038" s="192"/>
      <c r="M1038" s="192"/>
      <c r="N1038" s="192"/>
      <c r="O1038" s="192"/>
      <c r="P1038" s="192"/>
      <c r="Q1038" s="192"/>
    </row>
    <row r="1039" spans="1:17" s="27" customFormat="1" ht="25.5">
      <c r="A1039" s="46" t="s">
        <v>190</v>
      </c>
      <c r="B1039" s="13" t="s">
        <v>71</v>
      </c>
      <c r="C1039" s="13" t="s">
        <v>70</v>
      </c>
      <c r="D1039" s="45" t="s">
        <v>440</v>
      </c>
      <c r="E1039" s="13"/>
      <c r="F1039" s="11">
        <f>F1040</f>
        <v>70.2</v>
      </c>
      <c r="G1039" s="11">
        <f>G1040</f>
        <v>70.2</v>
      </c>
      <c r="H1039" s="14">
        <f t="shared" si="155"/>
        <v>0</v>
      </c>
      <c r="I1039" s="77">
        <f t="shared" si="156"/>
        <v>100</v>
      </c>
      <c r="L1039" s="192"/>
      <c r="M1039" s="192"/>
      <c r="N1039" s="192"/>
      <c r="O1039" s="192"/>
      <c r="P1039" s="192"/>
      <c r="Q1039" s="192"/>
    </row>
    <row r="1040" spans="1:9" ht="12.75">
      <c r="A1040" s="46" t="s">
        <v>126</v>
      </c>
      <c r="B1040" s="13" t="s">
        <v>71</v>
      </c>
      <c r="C1040" s="13" t="s">
        <v>70</v>
      </c>
      <c r="D1040" s="45" t="s">
        <v>440</v>
      </c>
      <c r="E1040" s="13" t="s">
        <v>127</v>
      </c>
      <c r="F1040" s="11">
        <f>F1041</f>
        <v>70.2</v>
      </c>
      <c r="G1040" s="11">
        <f>G1041</f>
        <v>70.2</v>
      </c>
      <c r="H1040" s="14">
        <f t="shared" si="155"/>
        <v>0</v>
      </c>
      <c r="I1040" s="77">
        <f t="shared" si="156"/>
        <v>100</v>
      </c>
    </row>
    <row r="1041" spans="1:9" ht="12.75">
      <c r="A1041" s="46" t="s">
        <v>132</v>
      </c>
      <c r="B1041" s="13" t="s">
        <v>71</v>
      </c>
      <c r="C1041" s="13" t="s">
        <v>70</v>
      </c>
      <c r="D1041" s="45" t="s">
        <v>440</v>
      </c>
      <c r="E1041" s="13" t="s">
        <v>133</v>
      </c>
      <c r="F1041" s="11">
        <f>'пр. 4 Вед'!G291</f>
        <v>70.2</v>
      </c>
      <c r="G1041" s="11">
        <f>'пр. 4 Вед'!H291</f>
        <v>70.2</v>
      </c>
      <c r="H1041" s="14">
        <f t="shared" si="155"/>
        <v>0</v>
      </c>
      <c r="I1041" s="77">
        <f t="shared" si="156"/>
        <v>100</v>
      </c>
    </row>
    <row r="1042" spans="1:9" ht="25.5">
      <c r="A1042" s="46" t="s">
        <v>367</v>
      </c>
      <c r="B1042" s="13" t="s">
        <v>71</v>
      </c>
      <c r="C1042" s="13" t="s">
        <v>70</v>
      </c>
      <c r="D1042" s="45" t="s">
        <v>239</v>
      </c>
      <c r="E1042" s="13"/>
      <c r="F1042" s="14">
        <f>F1043</f>
        <v>1411.8</v>
      </c>
      <c r="G1042" s="14">
        <f>G1043</f>
        <v>1411.83</v>
      </c>
      <c r="H1042" s="14">
        <f t="shared" si="155"/>
        <v>-0.029999999999972715</v>
      </c>
      <c r="I1042" s="77">
        <f t="shared" si="156"/>
        <v>100.00212494687632</v>
      </c>
    </row>
    <row r="1043" spans="1:9" ht="12.75">
      <c r="A1043" s="46" t="s">
        <v>301</v>
      </c>
      <c r="B1043" s="13" t="s">
        <v>71</v>
      </c>
      <c r="C1043" s="13" t="s">
        <v>70</v>
      </c>
      <c r="D1043" s="45" t="s">
        <v>493</v>
      </c>
      <c r="E1043" s="13"/>
      <c r="F1043" s="14">
        <f>F1048+F1044</f>
        <v>1411.8</v>
      </c>
      <c r="G1043" s="14">
        <f>G1048+G1044</f>
        <v>1411.83</v>
      </c>
      <c r="H1043" s="14">
        <f t="shared" si="155"/>
        <v>-0.029999999999972715</v>
      </c>
      <c r="I1043" s="77">
        <f t="shared" si="156"/>
        <v>100.00212494687632</v>
      </c>
    </row>
    <row r="1044" spans="1:9" ht="25.5">
      <c r="A1044" s="25" t="s">
        <v>743</v>
      </c>
      <c r="B1044" s="13" t="s">
        <v>71</v>
      </c>
      <c r="C1044" s="13" t="s">
        <v>70</v>
      </c>
      <c r="D1044" s="45" t="s">
        <v>681</v>
      </c>
      <c r="E1044" s="13"/>
      <c r="F1044" s="14">
        <f aca="true" t="shared" si="157" ref="F1044:G1046">F1045</f>
        <v>1210</v>
      </c>
      <c r="G1044" s="14">
        <f t="shared" si="157"/>
        <v>1210</v>
      </c>
      <c r="H1044" s="14">
        <f t="shared" si="155"/>
        <v>0</v>
      </c>
      <c r="I1044" s="77">
        <f t="shared" si="156"/>
        <v>100</v>
      </c>
    </row>
    <row r="1045" spans="1:9" ht="12.75">
      <c r="A1045" s="9" t="s">
        <v>126</v>
      </c>
      <c r="B1045" s="13" t="s">
        <v>71</v>
      </c>
      <c r="C1045" s="13" t="s">
        <v>70</v>
      </c>
      <c r="D1045" s="45" t="s">
        <v>681</v>
      </c>
      <c r="E1045" s="13" t="s">
        <v>127</v>
      </c>
      <c r="F1045" s="14">
        <f t="shared" si="157"/>
        <v>1210</v>
      </c>
      <c r="G1045" s="14">
        <f t="shared" si="157"/>
        <v>1210</v>
      </c>
      <c r="H1045" s="14">
        <f t="shared" si="155"/>
        <v>0</v>
      </c>
      <c r="I1045" s="77">
        <f t="shared" si="156"/>
        <v>100</v>
      </c>
    </row>
    <row r="1046" spans="1:9" ht="12.75">
      <c r="A1046" s="9" t="s">
        <v>146</v>
      </c>
      <c r="B1046" s="13" t="s">
        <v>71</v>
      </c>
      <c r="C1046" s="13" t="s">
        <v>70</v>
      </c>
      <c r="D1046" s="45" t="s">
        <v>681</v>
      </c>
      <c r="E1046" s="13" t="s">
        <v>145</v>
      </c>
      <c r="F1046" s="14">
        <f t="shared" si="157"/>
        <v>1210</v>
      </c>
      <c r="G1046" s="14">
        <f t="shared" si="157"/>
        <v>1210</v>
      </c>
      <c r="H1046" s="14">
        <f t="shared" si="155"/>
        <v>0</v>
      </c>
      <c r="I1046" s="77">
        <f t="shared" si="156"/>
        <v>100</v>
      </c>
    </row>
    <row r="1047" spans="1:9" ht="12.75">
      <c r="A1047" s="9" t="s">
        <v>738</v>
      </c>
      <c r="B1047" s="13" t="s">
        <v>71</v>
      </c>
      <c r="C1047" s="13" t="s">
        <v>70</v>
      </c>
      <c r="D1047" s="45" t="s">
        <v>681</v>
      </c>
      <c r="E1047" s="13" t="s">
        <v>739</v>
      </c>
      <c r="F1047" s="14">
        <f>'пр. 4 Вед'!G1089</f>
        <v>1210</v>
      </c>
      <c r="G1047" s="14">
        <f>'пр. 4 Вед'!H1089</f>
        <v>1210</v>
      </c>
      <c r="H1047" s="14">
        <f t="shared" si="155"/>
        <v>0</v>
      </c>
      <c r="I1047" s="77">
        <f t="shared" si="156"/>
        <v>100</v>
      </c>
    </row>
    <row r="1048" spans="1:9" ht="25.5">
      <c r="A1048" s="25" t="s">
        <v>682</v>
      </c>
      <c r="B1048" s="13" t="s">
        <v>71</v>
      </c>
      <c r="C1048" s="13" t="s">
        <v>70</v>
      </c>
      <c r="D1048" s="45" t="s">
        <v>683</v>
      </c>
      <c r="E1048" s="13"/>
      <c r="F1048" s="14">
        <f aca="true" t="shared" si="158" ref="F1048:G1050">F1049</f>
        <v>201.79999999999998</v>
      </c>
      <c r="G1048" s="14">
        <f t="shared" si="158"/>
        <v>201.83</v>
      </c>
      <c r="H1048" s="14">
        <f t="shared" si="155"/>
        <v>-0.03000000000002956</v>
      </c>
      <c r="I1048" s="77">
        <f t="shared" si="156"/>
        <v>100.01486620416256</v>
      </c>
    </row>
    <row r="1049" spans="1:9" ht="12.75">
      <c r="A1049" s="9" t="s">
        <v>126</v>
      </c>
      <c r="B1049" s="13" t="s">
        <v>71</v>
      </c>
      <c r="C1049" s="13" t="s">
        <v>70</v>
      </c>
      <c r="D1049" s="45" t="s">
        <v>683</v>
      </c>
      <c r="E1049" s="13" t="s">
        <v>127</v>
      </c>
      <c r="F1049" s="14">
        <f t="shared" si="158"/>
        <v>201.79999999999998</v>
      </c>
      <c r="G1049" s="14">
        <f t="shared" si="158"/>
        <v>201.83</v>
      </c>
      <c r="H1049" s="14">
        <f t="shared" si="155"/>
        <v>-0.03000000000002956</v>
      </c>
      <c r="I1049" s="77">
        <f t="shared" si="156"/>
        <v>100.01486620416256</v>
      </c>
    </row>
    <row r="1050" spans="1:9" ht="12.75">
      <c r="A1050" s="9" t="s">
        <v>146</v>
      </c>
      <c r="B1050" s="13" t="s">
        <v>71</v>
      </c>
      <c r="C1050" s="13" t="s">
        <v>70</v>
      </c>
      <c r="D1050" s="45" t="s">
        <v>683</v>
      </c>
      <c r="E1050" s="13" t="s">
        <v>145</v>
      </c>
      <c r="F1050" s="14">
        <f t="shared" si="158"/>
        <v>201.79999999999998</v>
      </c>
      <c r="G1050" s="14">
        <f t="shared" si="158"/>
        <v>201.83</v>
      </c>
      <c r="H1050" s="14">
        <f t="shared" si="155"/>
        <v>-0.03000000000002956</v>
      </c>
      <c r="I1050" s="77">
        <f t="shared" si="156"/>
        <v>100.01486620416256</v>
      </c>
    </row>
    <row r="1051" spans="1:9" ht="12.75">
      <c r="A1051" s="9" t="s">
        <v>738</v>
      </c>
      <c r="B1051" s="13" t="s">
        <v>71</v>
      </c>
      <c r="C1051" s="13" t="s">
        <v>70</v>
      </c>
      <c r="D1051" s="45" t="s">
        <v>683</v>
      </c>
      <c r="E1051" s="13" t="s">
        <v>739</v>
      </c>
      <c r="F1051" s="14">
        <f>'пр. 4 Вед'!G1093</f>
        <v>201.79999999999998</v>
      </c>
      <c r="G1051" s="14">
        <f>'пр. 4 Вед'!H1093</f>
        <v>201.83</v>
      </c>
      <c r="H1051" s="14">
        <f t="shared" si="155"/>
        <v>-0.03000000000002956</v>
      </c>
      <c r="I1051" s="77">
        <f t="shared" si="156"/>
        <v>100.01486620416256</v>
      </c>
    </row>
    <row r="1052" spans="1:9" ht="63.75">
      <c r="A1052" s="67" t="s">
        <v>740</v>
      </c>
      <c r="B1052" s="12" t="s">
        <v>71</v>
      </c>
      <c r="C1052" s="12" t="s">
        <v>70</v>
      </c>
      <c r="D1052" s="13" t="s">
        <v>588</v>
      </c>
      <c r="E1052" s="13"/>
      <c r="F1052" s="14">
        <f aca="true" t="shared" si="159" ref="F1052:G1055">F1053</f>
        <v>4400.7</v>
      </c>
      <c r="G1052" s="14">
        <f t="shared" si="159"/>
        <v>4400.6</v>
      </c>
      <c r="H1052" s="14">
        <f t="shared" si="155"/>
        <v>0.0999999999994543</v>
      </c>
      <c r="I1052" s="77">
        <f t="shared" si="156"/>
        <v>99.99772763424002</v>
      </c>
    </row>
    <row r="1053" spans="1:9" ht="12.75">
      <c r="A1053" s="9" t="s">
        <v>727</v>
      </c>
      <c r="B1053" s="12" t="s">
        <v>71</v>
      </c>
      <c r="C1053" s="12" t="s">
        <v>70</v>
      </c>
      <c r="D1053" s="13" t="s">
        <v>728</v>
      </c>
      <c r="E1053" s="13"/>
      <c r="F1053" s="14">
        <f t="shared" si="159"/>
        <v>4400.7</v>
      </c>
      <c r="G1053" s="14">
        <f t="shared" si="159"/>
        <v>4400.6</v>
      </c>
      <c r="H1053" s="14">
        <f t="shared" si="155"/>
        <v>0.0999999999994543</v>
      </c>
      <c r="I1053" s="77">
        <f t="shared" si="156"/>
        <v>99.99772763424002</v>
      </c>
    </row>
    <row r="1054" spans="1:9" ht="12.75">
      <c r="A1054" s="9" t="s">
        <v>126</v>
      </c>
      <c r="B1054" s="12" t="s">
        <v>71</v>
      </c>
      <c r="C1054" s="12" t="s">
        <v>70</v>
      </c>
      <c r="D1054" s="13" t="s">
        <v>728</v>
      </c>
      <c r="E1054" s="13" t="s">
        <v>127</v>
      </c>
      <c r="F1054" s="14">
        <f t="shared" si="159"/>
        <v>4400.7</v>
      </c>
      <c r="G1054" s="14">
        <f t="shared" si="159"/>
        <v>4400.6</v>
      </c>
      <c r="H1054" s="14">
        <f t="shared" si="155"/>
        <v>0.0999999999994543</v>
      </c>
      <c r="I1054" s="77">
        <f t="shared" si="156"/>
        <v>99.99772763424002</v>
      </c>
    </row>
    <row r="1055" spans="1:9" ht="12.75">
      <c r="A1055" s="9" t="s">
        <v>146</v>
      </c>
      <c r="B1055" s="12" t="s">
        <v>71</v>
      </c>
      <c r="C1055" s="12" t="s">
        <v>70</v>
      </c>
      <c r="D1055" s="13" t="s">
        <v>728</v>
      </c>
      <c r="E1055" s="13" t="s">
        <v>145</v>
      </c>
      <c r="F1055" s="14">
        <f t="shared" si="159"/>
        <v>4400.7</v>
      </c>
      <c r="G1055" s="14">
        <f t="shared" si="159"/>
        <v>4400.6</v>
      </c>
      <c r="H1055" s="14">
        <f t="shared" si="155"/>
        <v>0.0999999999994543</v>
      </c>
      <c r="I1055" s="77">
        <f t="shared" si="156"/>
        <v>99.99772763424002</v>
      </c>
    </row>
    <row r="1056" spans="1:9" ht="12.75">
      <c r="A1056" s="9" t="s">
        <v>738</v>
      </c>
      <c r="B1056" s="12" t="s">
        <v>71</v>
      </c>
      <c r="C1056" s="12" t="s">
        <v>70</v>
      </c>
      <c r="D1056" s="13" t="s">
        <v>728</v>
      </c>
      <c r="E1056" s="13" t="s">
        <v>739</v>
      </c>
      <c r="F1056" s="14">
        <f>'пр. 4 Вед'!G1276</f>
        <v>4400.7</v>
      </c>
      <c r="G1056" s="14">
        <f>'пр. 4 Вед'!H1276</f>
        <v>4400.6</v>
      </c>
      <c r="H1056" s="14">
        <f t="shared" si="155"/>
        <v>0.0999999999994543</v>
      </c>
      <c r="I1056" s="77">
        <f t="shared" si="156"/>
        <v>99.99772763424002</v>
      </c>
    </row>
    <row r="1057" spans="1:9" ht="12.75">
      <c r="A1057" s="65" t="s">
        <v>165</v>
      </c>
      <c r="B1057" s="29" t="s">
        <v>71</v>
      </c>
      <c r="C1057" s="29" t="s">
        <v>76</v>
      </c>
      <c r="D1057" s="29"/>
      <c r="E1057" s="29"/>
      <c r="F1057" s="10">
        <f>F1071+F1058</f>
        <v>2977.6</v>
      </c>
      <c r="G1057" s="10">
        <f>G1071+G1058</f>
        <v>2326.9</v>
      </c>
      <c r="H1057" s="30">
        <f t="shared" si="155"/>
        <v>650.6999999999998</v>
      </c>
      <c r="I1057" s="82">
        <f t="shared" si="156"/>
        <v>78.14682966147232</v>
      </c>
    </row>
    <row r="1058" spans="1:9" ht="25.5">
      <c r="A1058" s="46" t="s">
        <v>166</v>
      </c>
      <c r="B1058" s="13" t="s">
        <v>71</v>
      </c>
      <c r="C1058" s="13" t="s">
        <v>76</v>
      </c>
      <c r="D1058" s="13" t="s">
        <v>310</v>
      </c>
      <c r="E1058" s="13"/>
      <c r="F1058" s="14">
        <f aca="true" t="shared" si="160" ref="F1058:G1060">F1059</f>
        <v>2300</v>
      </c>
      <c r="G1058" s="14">
        <f t="shared" si="160"/>
        <v>1819.8</v>
      </c>
      <c r="H1058" s="14">
        <f t="shared" si="155"/>
        <v>480.20000000000005</v>
      </c>
      <c r="I1058" s="77">
        <f t="shared" si="156"/>
        <v>79.12173913043478</v>
      </c>
    </row>
    <row r="1059" spans="1:9" ht="25.5">
      <c r="A1059" s="46" t="s">
        <v>163</v>
      </c>
      <c r="B1059" s="13" t="s">
        <v>71</v>
      </c>
      <c r="C1059" s="13" t="s">
        <v>76</v>
      </c>
      <c r="D1059" s="32" t="s">
        <v>311</v>
      </c>
      <c r="E1059" s="13"/>
      <c r="F1059" s="14">
        <f t="shared" si="160"/>
        <v>2300</v>
      </c>
      <c r="G1059" s="14">
        <f t="shared" si="160"/>
        <v>1819.8</v>
      </c>
      <c r="H1059" s="14">
        <f t="shared" si="155"/>
        <v>480.20000000000005</v>
      </c>
      <c r="I1059" s="77">
        <f t="shared" si="156"/>
        <v>79.12173913043478</v>
      </c>
    </row>
    <row r="1060" spans="1:9" ht="12.75">
      <c r="A1060" s="46" t="s">
        <v>312</v>
      </c>
      <c r="B1060" s="13" t="s">
        <v>71</v>
      </c>
      <c r="C1060" s="13" t="s">
        <v>76</v>
      </c>
      <c r="D1060" s="32" t="s">
        <v>313</v>
      </c>
      <c r="E1060" s="13"/>
      <c r="F1060" s="14">
        <f t="shared" si="160"/>
        <v>2300</v>
      </c>
      <c r="G1060" s="14">
        <f t="shared" si="160"/>
        <v>1819.8</v>
      </c>
      <c r="H1060" s="14">
        <f t="shared" si="155"/>
        <v>480.20000000000005</v>
      </c>
      <c r="I1060" s="77">
        <f t="shared" si="156"/>
        <v>79.12173913043478</v>
      </c>
    </row>
    <row r="1061" spans="1:9" ht="25.5">
      <c r="A1061" s="46" t="s">
        <v>403</v>
      </c>
      <c r="B1061" s="13" t="s">
        <v>71</v>
      </c>
      <c r="C1061" s="13" t="s">
        <v>76</v>
      </c>
      <c r="D1061" s="32" t="s">
        <v>342</v>
      </c>
      <c r="E1061" s="13"/>
      <c r="F1061" s="14">
        <f>F1062+F1067</f>
        <v>2300</v>
      </c>
      <c r="G1061" s="14">
        <f>G1062+G1067</f>
        <v>1819.8</v>
      </c>
      <c r="H1061" s="14">
        <f t="shared" si="155"/>
        <v>480.20000000000005</v>
      </c>
      <c r="I1061" s="77">
        <f t="shared" si="156"/>
        <v>79.12173913043478</v>
      </c>
    </row>
    <row r="1062" spans="1:9" ht="38.25">
      <c r="A1062" s="46" t="s">
        <v>110</v>
      </c>
      <c r="B1062" s="13" t="s">
        <v>71</v>
      </c>
      <c r="C1062" s="13" t="s">
        <v>76</v>
      </c>
      <c r="D1062" s="32" t="s">
        <v>342</v>
      </c>
      <c r="E1062" s="13" t="s">
        <v>111</v>
      </c>
      <c r="F1062" s="14">
        <f>F1063</f>
        <v>1971.8</v>
      </c>
      <c r="G1062" s="14">
        <f>G1063</f>
        <v>1787.5</v>
      </c>
      <c r="H1062" s="14">
        <f t="shared" si="155"/>
        <v>184.29999999999995</v>
      </c>
      <c r="I1062" s="77">
        <f t="shared" si="156"/>
        <v>90.65321026473273</v>
      </c>
    </row>
    <row r="1063" spans="1:9" ht="12.75">
      <c r="A1063" s="46" t="s">
        <v>101</v>
      </c>
      <c r="B1063" s="13" t="s">
        <v>71</v>
      </c>
      <c r="C1063" s="13" t="s">
        <v>76</v>
      </c>
      <c r="D1063" s="32" t="s">
        <v>342</v>
      </c>
      <c r="E1063" s="13" t="s">
        <v>102</v>
      </c>
      <c r="F1063" s="14">
        <f>F1064+F1065+F1066</f>
        <v>1971.8</v>
      </c>
      <c r="G1063" s="14">
        <f>G1064+G1065+G1066</f>
        <v>1787.5</v>
      </c>
      <c r="H1063" s="14">
        <f t="shared" si="155"/>
        <v>184.29999999999995</v>
      </c>
      <c r="I1063" s="77">
        <f t="shared" si="156"/>
        <v>90.65321026473273</v>
      </c>
    </row>
    <row r="1064" spans="1:9" ht="12.75">
      <c r="A1064" s="46" t="s">
        <v>176</v>
      </c>
      <c r="B1064" s="13" t="s">
        <v>71</v>
      </c>
      <c r="C1064" s="13" t="s">
        <v>76</v>
      </c>
      <c r="D1064" s="32" t="s">
        <v>342</v>
      </c>
      <c r="E1064" s="13" t="s">
        <v>103</v>
      </c>
      <c r="F1064" s="14">
        <f>'пр. 4 Вед'!G299</f>
        <v>1517</v>
      </c>
      <c r="G1064" s="14">
        <f>'пр. 4 Вед'!H299</f>
        <v>1392.8</v>
      </c>
      <c r="H1064" s="14">
        <f t="shared" si="155"/>
        <v>124.20000000000005</v>
      </c>
      <c r="I1064" s="77">
        <f t="shared" si="156"/>
        <v>91.81278839815424</v>
      </c>
    </row>
    <row r="1065" spans="1:9" ht="25.5">
      <c r="A1065" s="46" t="s">
        <v>104</v>
      </c>
      <c r="B1065" s="13" t="s">
        <v>71</v>
      </c>
      <c r="C1065" s="13" t="s">
        <v>76</v>
      </c>
      <c r="D1065" s="32" t="s">
        <v>342</v>
      </c>
      <c r="E1065" s="13" t="s">
        <v>105</v>
      </c>
      <c r="F1065" s="14">
        <f>'пр. 4 Вед'!G300</f>
        <v>0</v>
      </c>
      <c r="G1065" s="14">
        <f>'пр. 4 Вед'!H300</f>
        <v>0</v>
      </c>
      <c r="H1065" s="14">
        <f t="shared" si="155"/>
        <v>0</v>
      </c>
      <c r="I1065" s="77" t="e">
        <f t="shared" si="156"/>
        <v>#DIV/0!</v>
      </c>
    </row>
    <row r="1066" spans="1:9" ht="25.5">
      <c r="A1066" s="46" t="s">
        <v>178</v>
      </c>
      <c r="B1066" s="13" t="s">
        <v>71</v>
      </c>
      <c r="C1066" s="13" t="s">
        <v>76</v>
      </c>
      <c r="D1066" s="32" t="s">
        <v>342</v>
      </c>
      <c r="E1066" s="13" t="s">
        <v>177</v>
      </c>
      <c r="F1066" s="14">
        <f>'пр. 4 Вед'!G301</f>
        <v>454.8</v>
      </c>
      <c r="G1066" s="14">
        <f>'пр. 4 Вед'!H301</f>
        <v>394.7</v>
      </c>
      <c r="H1066" s="14">
        <f t="shared" si="155"/>
        <v>60.10000000000002</v>
      </c>
      <c r="I1066" s="77">
        <f t="shared" si="156"/>
        <v>86.7854001759015</v>
      </c>
    </row>
    <row r="1067" spans="1:9" ht="12.75">
      <c r="A1067" s="46" t="s">
        <v>770</v>
      </c>
      <c r="B1067" s="13" t="s">
        <v>71</v>
      </c>
      <c r="C1067" s="13" t="s">
        <v>76</v>
      </c>
      <c r="D1067" s="32" t="s">
        <v>342</v>
      </c>
      <c r="E1067" s="13" t="s">
        <v>113</v>
      </c>
      <c r="F1067" s="14">
        <f>F1068</f>
        <v>328.2</v>
      </c>
      <c r="G1067" s="14">
        <f>G1068</f>
        <v>32.3</v>
      </c>
      <c r="H1067" s="14">
        <f t="shared" si="155"/>
        <v>295.9</v>
      </c>
      <c r="I1067" s="77">
        <f t="shared" si="156"/>
        <v>9.84156002437538</v>
      </c>
    </row>
    <row r="1068" spans="1:9" ht="15.75" customHeight="1">
      <c r="A1068" s="46" t="s">
        <v>106</v>
      </c>
      <c r="B1068" s="13" t="s">
        <v>71</v>
      </c>
      <c r="C1068" s="13" t="s">
        <v>76</v>
      </c>
      <c r="D1068" s="32" t="s">
        <v>342</v>
      </c>
      <c r="E1068" s="13" t="s">
        <v>107</v>
      </c>
      <c r="F1068" s="14">
        <f>F1069</f>
        <v>328.2</v>
      </c>
      <c r="G1068" s="14">
        <f>G1069</f>
        <v>32.3</v>
      </c>
      <c r="H1068" s="14">
        <f t="shared" si="155"/>
        <v>295.9</v>
      </c>
      <c r="I1068" s="77">
        <f t="shared" si="156"/>
        <v>9.84156002437538</v>
      </c>
    </row>
    <row r="1069" spans="1:9" ht="15" customHeight="1">
      <c r="A1069" s="46" t="s">
        <v>108</v>
      </c>
      <c r="B1069" s="13" t="s">
        <v>71</v>
      </c>
      <c r="C1069" s="13" t="s">
        <v>76</v>
      </c>
      <c r="D1069" s="32" t="s">
        <v>342</v>
      </c>
      <c r="E1069" s="13" t="s">
        <v>109</v>
      </c>
      <c r="F1069" s="14">
        <f>'пр. 4 Вед'!G304</f>
        <v>328.2</v>
      </c>
      <c r="G1069" s="14">
        <f>'пр. 4 Вед'!H304</f>
        <v>32.3</v>
      </c>
      <c r="H1069" s="14">
        <f t="shared" si="155"/>
        <v>295.9</v>
      </c>
      <c r="I1069" s="77">
        <f t="shared" si="156"/>
        <v>9.84156002437538</v>
      </c>
    </row>
    <row r="1070" spans="1:9" ht="25.5">
      <c r="A1070" s="46" t="s">
        <v>167</v>
      </c>
      <c r="B1070" s="13" t="s">
        <v>71</v>
      </c>
      <c r="C1070" s="13" t="s">
        <v>76</v>
      </c>
      <c r="D1070" s="13" t="s">
        <v>318</v>
      </c>
      <c r="E1070" s="13"/>
      <c r="F1070" s="11">
        <f aca="true" t="shared" si="161" ref="F1070:G1072">F1071</f>
        <v>677.5999999999999</v>
      </c>
      <c r="G1070" s="11">
        <f t="shared" si="161"/>
        <v>507.09999999999997</v>
      </c>
      <c r="H1070" s="14">
        <f t="shared" si="155"/>
        <v>170.49999999999994</v>
      </c>
      <c r="I1070" s="77">
        <f t="shared" si="156"/>
        <v>74.83766233766235</v>
      </c>
    </row>
    <row r="1071" spans="1:9" ht="25.5">
      <c r="A1071" s="46" t="s">
        <v>319</v>
      </c>
      <c r="B1071" s="13" t="s">
        <v>71</v>
      </c>
      <c r="C1071" s="13" t="s">
        <v>76</v>
      </c>
      <c r="D1071" s="45" t="s">
        <v>320</v>
      </c>
      <c r="E1071" s="13"/>
      <c r="F1071" s="11">
        <f t="shared" si="161"/>
        <v>677.5999999999999</v>
      </c>
      <c r="G1071" s="11">
        <f t="shared" si="161"/>
        <v>507.09999999999997</v>
      </c>
      <c r="H1071" s="14">
        <f t="shared" si="155"/>
        <v>170.49999999999994</v>
      </c>
      <c r="I1071" s="77">
        <f t="shared" si="156"/>
        <v>74.83766233766235</v>
      </c>
    </row>
    <row r="1072" spans="1:9" ht="25.5">
      <c r="A1072" s="46" t="s">
        <v>321</v>
      </c>
      <c r="B1072" s="13" t="s">
        <v>71</v>
      </c>
      <c r="C1072" s="13" t="s">
        <v>76</v>
      </c>
      <c r="D1072" s="45" t="s">
        <v>322</v>
      </c>
      <c r="E1072" s="13"/>
      <c r="F1072" s="11">
        <f t="shared" si="161"/>
        <v>677.5999999999999</v>
      </c>
      <c r="G1072" s="11">
        <f t="shared" si="161"/>
        <v>507.09999999999997</v>
      </c>
      <c r="H1072" s="14">
        <f t="shared" si="155"/>
        <v>170.49999999999994</v>
      </c>
      <c r="I1072" s="77">
        <f t="shared" si="156"/>
        <v>74.83766233766235</v>
      </c>
    </row>
    <row r="1073" spans="1:9" ht="25.5">
      <c r="A1073" s="46" t="s">
        <v>403</v>
      </c>
      <c r="B1073" s="13" t="s">
        <v>71</v>
      </c>
      <c r="C1073" s="13" t="s">
        <v>76</v>
      </c>
      <c r="D1073" s="45" t="s">
        <v>323</v>
      </c>
      <c r="E1073" s="13"/>
      <c r="F1073" s="11">
        <f>F1074+F1078</f>
        <v>677.5999999999999</v>
      </c>
      <c r="G1073" s="11">
        <f>G1074+G1078</f>
        <v>507.09999999999997</v>
      </c>
      <c r="H1073" s="14">
        <f t="shared" si="155"/>
        <v>170.49999999999994</v>
      </c>
      <c r="I1073" s="77">
        <f t="shared" si="156"/>
        <v>74.83766233766235</v>
      </c>
    </row>
    <row r="1074" spans="1:9" ht="38.25">
      <c r="A1074" s="46" t="s">
        <v>110</v>
      </c>
      <c r="B1074" s="13" t="s">
        <v>71</v>
      </c>
      <c r="C1074" s="13" t="s">
        <v>76</v>
      </c>
      <c r="D1074" s="45" t="s">
        <v>323</v>
      </c>
      <c r="E1074" s="13" t="s">
        <v>111</v>
      </c>
      <c r="F1074" s="14">
        <f>F1075</f>
        <v>537.9</v>
      </c>
      <c r="G1074" s="14">
        <f>G1075</f>
        <v>462.2</v>
      </c>
      <c r="H1074" s="14">
        <f t="shared" si="155"/>
        <v>75.69999999999999</v>
      </c>
      <c r="I1074" s="77">
        <f t="shared" si="156"/>
        <v>85.92675218442089</v>
      </c>
    </row>
    <row r="1075" spans="1:9" ht="12.75">
      <c r="A1075" s="46" t="s">
        <v>101</v>
      </c>
      <c r="B1075" s="13" t="s">
        <v>71</v>
      </c>
      <c r="C1075" s="13" t="s">
        <v>76</v>
      </c>
      <c r="D1075" s="45" t="s">
        <v>323</v>
      </c>
      <c r="E1075" s="13" t="s">
        <v>102</v>
      </c>
      <c r="F1075" s="14">
        <f>F1076+F1077</f>
        <v>537.9</v>
      </c>
      <c r="G1075" s="14">
        <f>G1076+G1077</f>
        <v>462.2</v>
      </c>
      <c r="H1075" s="14">
        <f t="shared" si="155"/>
        <v>75.69999999999999</v>
      </c>
      <c r="I1075" s="77">
        <f t="shared" si="156"/>
        <v>85.92675218442089</v>
      </c>
    </row>
    <row r="1076" spans="1:9" ht="12.75">
      <c r="A1076" s="46" t="s">
        <v>176</v>
      </c>
      <c r="B1076" s="13" t="s">
        <v>71</v>
      </c>
      <c r="C1076" s="13" t="s">
        <v>76</v>
      </c>
      <c r="D1076" s="45" t="s">
        <v>323</v>
      </c>
      <c r="E1076" s="13" t="s">
        <v>103</v>
      </c>
      <c r="F1076" s="14">
        <f>'пр. 4 Вед'!G311</f>
        <v>413.1</v>
      </c>
      <c r="G1076" s="14">
        <f>'пр. 4 Вед'!H311</f>
        <v>357.7</v>
      </c>
      <c r="H1076" s="14">
        <f t="shared" si="155"/>
        <v>55.400000000000034</v>
      </c>
      <c r="I1076" s="77">
        <f t="shared" si="156"/>
        <v>86.58920358266762</v>
      </c>
    </row>
    <row r="1077" spans="1:9" ht="25.5">
      <c r="A1077" s="46" t="s">
        <v>178</v>
      </c>
      <c r="B1077" s="13" t="s">
        <v>71</v>
      </c>
      <c r="C1077" s="13" t="s">
        <v>76</v>
      </c>
      <c r="D1077" s="45" t="s">
        <v>323</v>
      </c>
      <c r="E1077" s="13" t="s">
        <v>177</v>
      </c>
      <c r="F1077" s="14">
        <f>'пр. 4 Вед'!G312</f>
        <v>124.8</v>
      </c>
      <c r="G1077" s="14">
        <f>'пр. 4 Вед'!H312</f>
        <v>104.5</v>
      </c>
      <c r="H1077" s="14">
        <f t="shared" si="155"/>
        <v>20.299999999999997</v>
      </c>
      <c r="I1077" s="77">
        <f t="shared" si="156"/>
        <v>83.73397435897436</v>
      </c>
    </row>
    <row r="1078" spans="1:9" ht="12.75">
      <c r="A1078" s="46" t="s">
        <v>770</v>
      </c>
      <c r="B1078" s="13" t="s">
        <v>71</v>
      </c>
      <c r="C1078" s="13" t="s">
        <v>76</v>
      </c>
      <c r="D1078" s="45" t="s">
        <v>323</v>
      </c>
      <c r="E1078" s="13" t="s">
        <v>113</v>
      </c>
      <c r="F1078" s="14">
        <f>F1079</f>
        <v>139.7</v>
      </c>
      <c r="G1078" s="14">
        <f>G1079</f>
        <v>44.9</v>
      </c>
      <c r="H1078" s="14">
        <f t="shared" si="155"/>
        <v>94.79999999999998</v>
      </c>
      <c r="I1078" s="77">
        <f t="shared" si="156"/>
        <v>32.140300644237655</v>
      </c>
    </row>
    <row r="1079" spans="1:9" ht="25.5">
      <c r="A1079" s="46" t="s">
        <v>106</v>
      </c>
      <c r="B1079" s="13" t="s">
        <v>71</v>
      </c>
      <c r="C1079" s="13" t="s">
        <v>76</v>
      </c>
      <c r="D1079" s="45" t="s">
        <v>323</v>
      </c>
      <c r="E1079" s="13" t="s">
        <v>107</v>
      </c>
      <c r="F1079" s="14">
        <f>F1080</f>
        <v>139.7</v>
      </c>
      <c r="G1079" s="14">
        <f>G1080</f>
        <v>44.9</v>
      </c>
      <c r="H1079" s="14">
        <f t="shared" si="155"/>
        <v>94.79999999999998</v>
      </c>
      <c r="I1079" s="77">
        <f t="shared" si="156"/>
        <v>32.140300644237655</v>
      </c>
    </row>
    <row r="1080" spans="1:9" ht="25.5">
      <c r="A1080" s="46" t="s">
        <v>108</v>
      </c>
      <c r="B1080" s="13" t="s">
        <v>71</v>
      </c>
      <c r="C1080" s="13" t="s">
        <v>76</v>
      </c>
      <c r="D1080" s="45" t="s">
        <v>323</v>
      </c>
      <c r="E1080" s="13" t="s">
        <v>109</v>
      </c>
      <c r="F1080" s="14">
        <f>'пр. 4 Вед'!G315</f>
        <v>139.7</v>
      </c>
      <c r="G1080" s="14">
        <f>'пр. 4 Вед'!H315</f>
        <v>44.9</v>
      </c>
      <c r="H1080" s="14">
        <f t="shared" si="155"/>
        <v>94.79999999999998</v>
      </c>
      <c r="I1080" s="77">
        <f t="shared" si="156"/>
        <v>32.140300644237655</v>
      </c>
    </row>
    <row r="1081" spans="1:9" ht="12.75">
      <c r="A1081" s="60" t="s">
        <v>85</v>
      </c>
      <c r="B1081" s="29" t="s">
        <v>74</v>
      </c>
      <c r="C1081" s="29" t="s">
        <v>36</v>
      </c>
      <c r="D1081" s="13"/>
      <c r="E1081" s="13"/>
      <c r="F1081" s="30">
        <f>F1082</f>
        <v>10661.7</v>
      </c>
      <c r="G1081" s="30">
        <f>G1082</f>
        <v>10627.6</v>
      </c>
      <c r="H1081" s="30">
        <f t="shared" si="155"/>
        <v>34.100000000000364</v>
      </c>
      <c r="I1081" s="82">
        <f t="shared" si="156"/>
        <v>99.68016357616514</v>
      </c>
    </row>
    <row r="1082" spans="1:9" ht="12.75">
      <c r="A1082" s="60" t="s">
        <v>86</v>
      </c>
      <c r="B1082" s="29" t="s">
        <v>74</v>
      </c>
      <c r="C1082" s="29" t="s">
        <v>66</v>
      </c>
      <c r="D1082" s="29"/>
      <c r="E1082" s="29"/>
      <c r="F1082" s="30">
        <f>F1083+F1097+F1115+F1125+F1132</f>
        <v>10661.7</v>
      </c>
      <c r="G1082" s="30">
        <f>G1083+G1097+G1115+G1125+G1132</f>
        <v>10627.6</v>
      </c>
      <c r="H1082" s="30">
        <f t="shared" si="155"/>
        <v>34.100000000000364</v>
      </c>
      <c r="I1082" s="82">
        <f t="shared" si="156"/>
        <v>99.68016357616514</v>
      </c>
    </row>
    <row r="1083" spans="1:9" ht="25.5">
      <c r="A1083" s="46" t="s">
        <v>368</v>
      </c>
      <c r="B1083" s="13" t="s">
        <v>74</v>
      </c>
      <c r="C1083" s="13" t="s">
        <v>66</v>
      </c>
      <c r="D1083" s="45" t="s">
        <v>238</v>
      </c>
      <c r="E1083" s="32"/>
      <c r="F1083" s="14">
        <f>F1084</f>
        <v>1150</v>
      </c>
      <c r="G1083" s="14">
        <f>G1084</f>
        <v>1150</v>
      </c>
      <c r="H1083" s="14">
        <f t="shared" si="155"/>
        <v>0</v>
      </c>
      <c r="I1083" s="77">
        <f t="shared" si="156"/>
        <v>100</v>
      </c>
    </row>
    <row r="1084" spans="1:9" ht="25.5">
      <c r="A1084" s="46" t="s">
        <v>302</v>
      </c>
      <c r="B1084" s="13" t="s">
        <v>74</v>
      </c>
      <c r="C1084" s="13" t="s">
        <v>66</v>
      </c>
      <c r="D1084" s="45" t="s">
        <v>494</v>
      </c>
      <c r="E1084" s="32"/>
      <c r="F1084" s="14">
        <f>F1085+F1089+F1093</f>
        <v>1150</v>
      </c>
      <c r="G1084" s="14">
        <f>G1085+G1089+G1093</f>
        <v>1150</v>
      </c>
      <c r="H1084" s="14">
        <f t="shared" si="155"/>
        <v>0</v>
      </c>
      <c r="I1084" s="77">
        <f t="shared" si="156"/>
        <v>100</v>
      </c>
    </row>
    <row r="1085" spans="1:9" ht="29.25" customHeight="1">
      <c r="A1085" s="46" t="s">
        <v>236</v>
      </c>
      <c r="B1085" s="13" t="s">
        <v>74</v>
      </c>
      <c r="C1085" s="13" t="s">
        <v>66</v>
      </c>
      <c r="D1085" s="45" t="s">
        <v>495</v>
      </c>
      <c r="E1085" s="32"/>
      <c r="F1085" s="14">
        <f aca="true" t="shared" si="162" ref="F1085:G1087">F1086</f>
        <v>623.8</v>
      </c>
      <c r="G1085" s="14">
        <f t="shared" si="162"/>
        <v>623.8</v>
      </c>
      <c r="H1085" s="14">
        <f t="shared" si="155"/>
        <v>0</v>
      </c>
      <c r="I1085" s="77">
        <f t="shared" si="156"/>
        <v>100</v>
      </c>
    </row>
    <row r="1086" spans="1:9" ht="25.5">
      <c r="A1086" s="46" t="s">
        <v>114</v>
      </c>
      <c r="B1086" s="13" t="s">
        <v>74</v>
      </c>
      <c r="C1086" s="13" t="s">
        <v>66</v>
      </c>
      <c r="D1086" s="45" t="s">
        <v>495</v>
      </c>
      <c r="E1086" s="13" t="s">
        <v>115</v>
      </c>
      <c r="F1086" s="14">
        <f t="shared" si="162"/>
        <v>623.8</v>
      </c>
      <c r="G1086" s="14">
        <f t="shared" si="162"/>
        <v>623.8</v>
      </c>
      <c r="H1086" s="14">
        <f t="shared" si="155"/>
        <v>0</v>
      </c>
      <c r="I1086" s="77">
        <f t="shared" si="156"/>
        <v>100</v>
      </c>
    </row>
    <row r="1087" spans="1:9" ht="12.75">
      <c r="A1087" s="46" t="s">
        <v>120</v>
      </c>
      <c r="B1087" s="13" t="s">
        <v>74</v>
      </c>
      <c r="C1087" s="13" t="s">
        <v>66</v>
      </c>
      <c r="D1087" s="45" t="s">
        <v>495</v>
      </c>
      <c r="E1087" s="13" t="s">
        <v>121</v>
      </c>
      <c r="F1087" s="14">
        <f t="shared" si="162"/>
        <v>623.8</v>
      </c>
      <c r="G1087" s="14">
        <f t="shared" si="162"/>
        <v>623.8</v>
      </c>
      <c r="H1087" s="14">
        <f t="shared" si="155"/>
        <v>0</v>
      </c>
      <c r="I1087" s="77">
        <f t="shared" si="156"/>
        <v>100</v>
      </c>
    </row>
    <row r="1088" spans="1:9" ht="12.75">
      <c r="A1088" s="46" t="s">
        <v>124</v>
      </c>
      <c r="B1088" s="13" t="s">
        <v>74</v>
      </c>
      <c r="C1088" s="13" t="s">
        <v>66</v>
      </c>
      <c r="D1088" s="45" t="s">
        <v>495</v>
      </c>
      <c r="E1088" s="13" t="s">
        <v>125</v>
      </c>
      <c r="F1088" s="14">
        <f>'пр. 4 Вед'!G1101</f>
        <v>623.8</v>
      </c>
      <c r="G1088" s="14">
        <f>'пр. 4 Вед'!H1101</f>
        <v>623.8</v>
      </c>
      <c r="H1088" s="14">
        <f t="shared" si="155"/>
        <v>0</v>
      </c>
      <c r="I1088" s="77">
        <f t="shared" si="156"/>
        <v>100</v>
      </c>
    </row>
    <row r="1089" spans="1:9" ht="12.75">
      <c r="A1089" s="46" t="s">
        <v>204</v>
      </c>
      <c r="B1089" s="13" t="s">
        <v>74</v>
      </c>
      <c r="C1089" s="13" t="s">
        <v>66</v>
      </c>
      <c r="D1089" s="45" t="s">
        <v>496</v>
      </c>
      <c r="E1089" s="13"/>
      <c r="F1089" s="14">
        <f aca="true" t="shared" si="163" ref="F1089:G1091">F1090</f>
        <v>203.2</v>
      </c>
      <c r="G1089" s="14">
        <f t="shared" si="163"/>
        <v>203.2</v>
      </c>
      <c r="H1089" s="14">
        <f t="shared" si="155"/>
        <v>0</v>
      </c>
      <c r="I1089" s="77">
        <f t="shared" si="156"/>
        <v>100</v>
      </c>
    </row>
    <row r="1090" spans="1:9" ht="25.5">
      <c r="A1090" s="46" t="s">
        <v>114</v>
      </c>
      <c r="B1090" s="13" t="s">
        <v>74</v>
      </c>
      <c r="C1090" s="13" t="s">
        <v>66</v>
      </c>
      <c r="D1090" s="45" t="s">
        <v>496</v>
      </c>
      <c r="E1090" s="13" t="s">
        <v>115</v>
      </c>
      <c r="F1090" s="14">
        <f t="shared" si="163"/>
        <v>203.2</v>
      </c>
      <c r="G1090" s="14">
        <f t="shared" si="163"/>
        <v>203.2</v>
      </c>
      <c r="H1090" s="14">
        <f t="shared" si="155"/>
        <v>0</v>
      </c>
      <c r="I1090" s="77">
        <f t="shared" si="156"/>
        <v>100</v>
      </c>
    </row>
    <row r="1091" spans="1:9" ht="12.75">
      <c r="A1091" s="46" t="s">
        <v>120</v>
      </c>
      <c r="B1091" s="13" t="s">
        <v>74</v>
      </c>
      <c r="C1091" s="13" t="s">
        <v>66</v>
      </c>
      <c r="D1091" s="45" t="s">
        <v>496</v>
      </c>
      <c r="E1091" s="13" t="s">
        <v>121</v>
      </c>
      <c r="F1091" s="14">
        <f t="shared" si="163"/>
        <v>203.2</v>
      </c>
      <c r="G1091" s="14">
        <f t="shared" si="163"/>
        <v>203.2</v>
      </c>
      <c r="H1091" s="14">
        <f t="shared" si="155"/>
        <v>0</v>
      </c>
      <c r="I1091" s="77">
        <f t="shared" si="156"/>
        <v>100</v>
      </c>
    </row>
    <row r="1092" spans="1:9" ht="12.75">
      <c r="A1092" s="46" t="s">
        <v>124</v>
      </c>
      <c r="B1092" s="13" t="s">
        <v>74</v>
      </c>
      <c r="C1092" s="13" t="s">
        <v>66</v>
      </c>
      <c r="D1092" s="45" t="s">
        <v>496</v>
      </c>
      <c r="E1092" s="13" t="s">
        <v>125</v>
      </c>
      <c r="F1092" s="14">
        <f>'пр. 4 Вед'!G1105</f>
        <v>203.2</v>
      </c>
      <c r="G1092" s="14">
        <f>'пр. 4 Вед'!H1105</f>
        <v>203.2</v>
      </c>
      <c r="H1092" s="14">
        <f t="shared" si="155"/>
        <v>0</v>
      </c>
      <c r="I1092" s="77">
        <f t="shared" si="156"/>
        <v>100</v>
      </c>
    </row>
    <row r="1093" spans="1:9" ht="12.75">
      <c r="A1093" s="46" t="s">
        <v>237</v>
      </c>
      <c r="B1093" s="13" t="s">
        <v>74</v>
      </c>
      <c r="C1093" s="13" t="s">
        <v>66</v>
      </c>
      <c r="D1093" s="45" t="s">
        <v>497</v>
      </c>
      <c r="E1093" s="13"/>
      <c r="F1093" s="14">
        <f aca="true" t="shared" si="164" ref="F1093:G1095">F1094</f>
        <v>323</v>
      </c>
      <c r="G1093" s="14">
        <f t="shared" si="164"/>
        <v>323</v>
      </c>
      <c r="H1093" s="14">
        <f t="shared" si="155"/>
        <v>0</v>
      </c>
      <c r="I1093" s="77">
        <f t="shared" si="156"/>
        <v>100</v>
      </c>
    </row>
    <row r="1094" spans="1:9" ht="25.5">
      <c r="A1094" s="46" t="s">
        <v>114</v>
      </c>
      <c r="B1094" s="13" t="s">
        <v>74</v>
      </c>
      <c r="C1094" s="13" t="s">
        <v>66</v>
      </c>
      <c r="D1094" s="45" t="s">
        <v>497</v>
      </c>
      <c r="E1094" s="13" t="s">
        <v>115</v>
      </c>
      <c r="F1094" s="14">
        <f t="shared" si="164"/>
        <v>323</v>
      </c>
      <c r="G1094" s="14">
        <f t="shared" si="164"/>
        <v>323</v>
      </c>
      <c r="H1094" s="14">
        <f t="shared" si="155"/>
        <v>0</v>
      </c>
      <c r="I1094" s="77">
        <f t="shared" si="156"/>
        <v>100</v>
      </c>
    </row>
    <row r="1095" spans="1:9" ht="12.75">
      <c r="A1095" s="46" t="s">
        <v>120</v>
      </c>
      <c r="B1095" s="13" t="s">
        <v>74</v>
      </c>
      <c r="C1095" s="13" t="s">
        <v>66</v>
      </c>
      <c r="D1095" s="45" t="s">
        <v>497</v>
      </c>
      <c r="E1095" s="13" t="s">
        <v>121</v>
      </c>
      <c r="F1095" s="14">
        <f t="shared" si="164"/>
        <v>323</v>
      </c>
      <c r="G1095" s="14">
        <f t="shared" si="164"/>
        <v>323</v>
      </c>
      <c r="H1095" s="14">
        <f t="shared" si="155"/>
        <v>0</v>
      </c>
      <c r="I1095" s="77">
        <f t="shared" si="156"/>
        <v>100</v>
      </c>
    </row>
    <row r="1096" spans="1:9" ht="12.75">
      <c r="A1096" s="46" t="s">
        <v>124</v>
      </c>
      <c r="B1096" s="13" t="s">
        <v>74</v>
      </c>
      <c r="C1096" s="13" t="s">
        <v>66</v>
      </c>
      <c r="D1096" s="45" t="s">
        <v>497</v>
      </c>
      <c r="E1096" s="13" t="s">
        <v>125</v>
      </c>
      <c r="F1096" s="14">
        <f>'пр. 4 Вед'!G1109</f>
        <v>323</v>
      </c>
      <c r="G1096" s="14">
        <f>'пр. 4 Вед'!H1109</f>
        <v>323</v>
      </c>
      <c r="H1096" s="14">
        <f t="shared" si="155"/>
        <v>0</v>
      </c>
      <c r="I1096" s="77">
        <f t="shared" si="156"/>
        <v>100</v>
      </c>
    </row>
    <row r="1097" spans="1:9" ht="25.5">
      <c r="A1097" s="46" t="s">
        <v>361</v>
      </c>
      <c r="B1097" s="13" t="s">
        <v>74</v>
      </c>
      <c r="C1097" s="13" t="s">
        <v>66</v>
      </c>
      <c r="D1097" s="45" t="s">
        <v>206</v>
      </c>
      <c r="E1097" s="13"/>
      <c r="F1097" s="14">
        <f>F1098</f>
        <v>286.9</v>
      </c>
      <c r="G1097" s="14">
        <f>G1098</f>
        <v>283.7</v>
      </c>
      <c r="H1097" s="14">
        <f aca="true" t="shared" si="165" ref="H1097:H1151">F1097-G1097</f>
        <v>3.1999999999999886</v>
      </c>
      <c r="I1097" s="77">
        <f aca="true" t="shared" si="166" ref="I1097:I1151">G1097/F1097*100</f>
        <v>98.88462879051934</v>
      </c>
    </row>
    <row r="1098" spans="1:9" ht="25.5">
      <c r="A1098" s="46" t="s">
        <v>290</v>
      </c>
      <c r="B1098" s="13" t="s">
        <v>74</v>
      </c>
      <c r="C1098" s="13" t="s">
        <v>66</v>
      </c>
      <c r="D1098" s="45" t="s">
        <v>453</v>
      </c>
      <c r="E1098" s="13"/>
      <c r="F1098" s="14">
        <f>F1099+F1103+F1107+F1111</f>
        <v>286.9</v>
      </c>
      <c r="G1098" s="14">
        <f>G1099+G1103+G1107+G1111</f>
        <v>283.7</v>
      </c>
      <c r="H1098" s="14">
        <f t="shared" si="165"/>
        <v>3.1999999999999886</v>
      </c>
      <c r="I1098" s="77">
        <f t="shared" si="166"/>
        <v>98.88462879051934</v>
      </c>
    </row>
    <row r="1099" spans="1:9" ht="12.75">
      <c r="A1099" s="46" t="s">
        <v>205</v>
      </c>
      <c r="B1099" s="13" t="s">
        <v>74</v>
      </c>
      <c r="C1099" s="13" t="s">
        <v>66</v>
      </c>
      <c r="D1099" s="45" t="s">
        <v>454</v>
      </c>
      <c r="E1099" s="13"/>
      <c r="F1099" s="14">
        <f aca="true" t="shared" si="167" ref="F1099:G1101">F1100</f>
        <v>138.9</v>
      </c>
      <c r="G1099" s="14">
        <f t="shared" si="167"/>
        <v>135.7</v>
      </c>
      <c r="H1099" s="14">
        <f t="shared" si="165"/>
        <v>3.200000000000017</v>
      </c>
      <c r="I1099" s="77">
        <f t="shared" si="166"/>
        <v>97.69618430525556</v>
      </c>
    </row>
    <row r="1100" spans="1:9" ht="25.5">
      <c r="A1100" s="46" t="s">
        <v>114</v>
      </c>
      <c r="B1100" s="13" t="s">
        <v>74</v>
      </c>
      <c r="C1100" s="13" t="s">
        <v>66</v>
      </c>
      <c r="D1100" s="45" t="s">
        <v>454</v>
      </c>
      <c r="E1100" s="13" t="s">
        <v>115</v>
      </c>
      <c r="F1100" s="14">
        <f t="shared" si="167"/>
        <v>138.9</v>
      </c>
      <c r="G1100" s="14">
        <f t="shared" si="167"/>
        <v>135.7</v>
      </c>
      <c r="H1100" s="14">
        <f t="shared" si="165"/>
        <v>3.200000000000017</v>
      </c>
      <c r="I1100" s="77">
        <f t="shared" si="166"/>
        <v>97.69618430525556</v>
      </c>
    </row>
    <row r="1101" spans="1:9" ht="12.75">
      <c r="A1101" s="46" t="s">
        <v>120</v>
      </c>
      <c r="B1101" s="13" t="s">
        <v>74</v>
      </c>
      <c r="C1101" s="13" t="s">
        <v>66</v>
      </c>
      <c r="D1101" s="45" t="s">
        <v>454</v>
      </c>
      <c r="E1101" s="13" t="s">
        <v>121</v>
      </c>
      <c r="F1101" s="14">
        <f t="shared" si="167"/>
        <v>138.9</v>
      </c>
      <c r="G1101" s="14">
        <f t="shared" si="167"/>
        <v>135.7</v>
      </c>
      <c r="H1101" s="14">
        <f t="shared" si="165"/>
        <v>3.200000000000017</v>
      </c>
      <c r="I1101" s="77">
        <f t="shared" si="166"/>
        <v>97.69618430525556</v>
      </c>
    </row>
    <row r="1102" spans="1:9" ht="12.75">
      <c r="A1102" s="46" t="s">
        <v>124</v>
      </c>
      <c r="B1102" s="13" t="s">
        <v>74</v>
      </c>
      <c r="C1102" s="13" t="s">
        <v>66</v>
      </c>
      <c r="D1102" s="45" t="s">
        <v>454</v>
      </c>
      <c r="E1102" s="13" t="s">
        <v>125</v>
      </c>
      <c r="F1102" s="14">
        <f>'пр. 4 Вед'!G1115</f>
        <v>138.9</v>
      </c>
      <c r="G1102" s="14">
        <f>'пр. 4 Вед'!H1115</f>
        <v>135.7</v>
      </c>
      <c r="H1102" s="14">
        <f t="shared" si="165"/>
        <v>3.200000000000017</v>
      </c>
      <c r="I1102" s="77">
        <f t="shared" si="166"/>
        <v>97.69618430525556</v>
      </c>
    </row>
    <row r="1103" spans="1:9" ht="12.75">
      <c r="A1103" s="46" t="s">
        <v>213</v>
      </c>
      <c r="B1103" s="13" t="s">
        <v>74</v>
      </c>
      <c r="C1103" s="13" t="s">
        <v>66</v>
      </c>
      <c r="D1103" s="45" t="s">
        <v>461</v>
      </c>
      <c r="E1103" s="13"/>
      <c r="F1103" s="14">
        <f aca="true" t="shared" si="168" ref="F1103:G1105">F1104</f>
        <v>130</v>
      </c>
      <c r="G1103" s="14">
        <f t="shared" si="168"/>
        <v>130</v>
      </c>
      <c r="H1103" s="14">
        <f t="shared" si="165"/>
        <v>0</v>
      </c>
      <c r="I1103" s="77">
        <f t="shared" si="166"/>
        <v>100</v>
      </c>
    </row>
    <row r="1104" spans="1:9" ht="25.5">
      <c r="A1104" s="46" t="s">
        <v>114</v>
      </c>
      <c r="B1104" s="13" t="s">
        <v>74</v>
      </c>
      <c r="C1104" s="13" t="s">
        <v>66</v>
      </c>
      <c r="D1104" s="45" t="s">
        <v>461</v>
      </c>
      <c r="E1104" s="13" t="s">
        <v>115</v>
      </c>
      <c r="F1104" s="14">
        <f t="shared" si="168"/>
        <v>130</v>
      </c>
      <c r="G1104" s="14">
        <f t="shared" si="168"/>
        <v>130</v>
      </c>
      <c r="H1104" s="14">
        <f t="shared" si="165"/>
        <v>0</v>
      </c>
      <c r="I1104" s="77">
        <f t="shared" si="166"/>
        <v>100</v>
      </c>
    </row>
    <row r="1105" spans="1:9" ht="12.75">
      <c r="A1105" s="46" t="s">
        <v>120</v>
      </c>
      <c r="B1105" s="13" t="s">
        <v>74</v>
      </c>
      <c r="C1105" s="13" t="s">
        <v>66</v>
      </c>
      <c r="D1105" s="45" t="s">
        <v>461</v>
      </c>
      <c r="E1105" s="13" t="s">
        <v>121</v>
      </c>
      <c r="F1105" s="14">
        <f t="shared" si="168"/>
        <v>130</v>
      </c>
      <c r="G1105" s="14">
        <f t="shared" si="168"/>
        <v>130</v>
      </c>
      <c r="H1105" s="14">
        <f t="shared" si="165"/>
        <v>0</v>
      </c>
      <c r="I1105" s="77">
        <f t="shared" si="166"/>
        <v>100</v>
      </c>
    </row>
    <row r="1106" spans="1:9" ht="12.75">
      <c r="A1106" s="46" t="s">
        <v>124</v>
      </c>
      <c r="B1106" s="13" t="s">
        <v>74</v>
      </c>
      <c r="C1106" s="13" t="s">
        <v>66</v>
      </c>
      <c r="D1106" s="45" t="s">
        <v>461</v>
      </c>
      <c r="E1106" s="13" t="s">
        <v>125</v>
      </c>
      <c r="F1106" s="14">
        <f>'пр. 4 Вед'!G1119</f>
        <v>130</v>
      </c>
      <c r="G1106" s="14">
        <f>'пр. 4 Вед'!H1119</f>
        <v>130</v>
      </c>
      <c r="H1106" s="14">
        <f t="shared" si="165"/>
        <v>0</v>
      </c>
      <c r="I1106" s="77">
        <f t="shared" si="166"/>
        <v>100</v>
      </c>
    </row>
    <row r="1107" spans="1:9" ht="12.75">
      <c r="A1107" s="46" t="s">
        <v>226</v>
      </c>
      <c r="B1107" s="13" t="s">
        <v>74</v>
      </c>
      <c r="C1107" s="13" t="s">
        <v>66</v>
      </c>
      <c r="D1107" s="45" t="s">
        <v>480</v>
      </c>
      <c r="E1107" s="13"/>
      <c r="F1107" s="14">
        <f aca="true" t="shared" si="169" ref="F1107:G1109">F1108</f>
        <v>4</v>
      </c>
      <c r="G1107" s="14">
        <f t="shared" si="169"/>
        <v>4</v>
      </c>
      <c r="H1107" s="14">
        <f t="shared" si="165"/>
        <v>0</v>
      </c>
      <c r="I1107" s="77">
        <f t="shared" si="166"/>
        <v>100</v>
      </c>
    </row>
    <row r="1108" spans="1:9" ht="25.5">
      <c r="A1108" s="46" t="s">
        <v>114</v>
      </c>
      <c r="B1108" s="13" t="s">
        <v>74</v>
      </c>
      <c r="C1108" s="13" t="s">
        <v>66</v>
      </c>
      <c r="D1108" s="45" t="s">
        <v>480</v>
      </c>
      <c r="E1108" s="13" t="s">
        <v>115</v>
      </c>
      <c r="F1108" s="14">
        <f t="shared" si="169"/>
        <v>4</v>
      </c>
      <c r="G1108" s="14">
        <f t="shared" si="169"/>
        <v>4</v>
      </c>
      <c r="H1108" s="14">
        <f t="shared" si="165"/>
        <v>0</v>
      </c>
      <c r="I1108" s="77">
        <f t="shared" si="166"/>
        <v>100</v>
      </c>
    </row>
    <row r="1109" spans="1:9" ht="12.75">
      <c r="A1109" s="46" t="s">
        <v>120</v>
      </c>
      <c r="B1109" s="13" t="s">
        <v>74</v>
      </c>
      <c r="C1109" s="13" t="s">
        <v>66</v>
      </c>
      <c r="D1109" s="45" t="s">
        <v>480</v>
      </c>
      <c r="E1109" s="13" t="s">
        <v>121</v>
      </c>
      <c r="F1109" s="14">
        <f t="shared" si="169"/>
        <v>4</v>
      </c>
      <c r="G1109" s="14">
        <f t="shared" si="169"/>
        <v>4</v>
      </c>
      <c r="H1109" s="14">
        <f t="shared" si="165"/>
        <v>0</v>
      </c>
      <c r="I1109" s="77">
        <f t="shared" si="166"/>
        <v>100</v>
      </c>
    </row>
    <row r="1110" spans="1:9" ht="12.75">
      <c r="A1110" s="46" t="s">
        <v>124</v>
      </c>
      <c r="B1110" s="13" t="s">
        <v>74</v>
      </c>
      <c r="C1110" s="13" t="s">
        <v>66</v>
      </c>
      <c r="D1110" s="45" t="s">
        <v>480</v>
      </c>
      <c r="E1110" s="13" t="s">
        <v>125</v>
      </c>
      <c r="F1110" s="14">
        <f>'пр. 4 Вед'!G1123</f>
        <v>4</v>
      </c>
      <c r="G1110" s="14">
        <f>'пр. 4 Вед'!H1123</f>
        <v>4</v>
      </c>
      <c r="H1110" s="14">
        <f t="shared" si="165"/>
        <v>0</v>
      </c>
      <c r="I1110" s="77">
        <f t="shared" si="166"/>
        <v>100</v>
      </c>
    </row>
    <row r="1111" spans="1:9" ht="25.5">
      <c r="A1111" s="46" t="s">
        <v>207</v>
      </c>
      <c r="B1111" s="13" t="s">
        <v>74</v>
      </c>
      <c r="C1111" s="13" t="s">
        <v>66</v>
      </c>
      <c r="D1111" s="45" t="s">
        <v>456</v>
      </c>
      <c r="E1111" s="13"/>
      <c r="F1111" s="14">
        <f aca="true" t="shared" si="170" ref="F1111:G1113">F1112</f>
        <v>14</v>
      </c>
      <c r="G1111" s="14">
        <f t="shared" si="170"/>
        <v>14</v>
      </c>
      <c r="H1111" s="14">
        <f t="shared" si="165"/>
        <v>0</v>
      </c>
      <c r="I1111" s="77">
        <f t="shared" si="166"/>
        <v>100</v>
      </c>
    </row>
    <row r="1112" spans="1:9" ht="25.5">
      <c r="A1112" s="46" t="s">
        <v>114</v>
      </c>
      <c r="B1112" s="13" t="s">
        <v>74</v>
      </c>
      <c r="C1112" s="13" t="s">
        <v>66</v>
      </c>
      <c r="D1112" s="45" t="s">
        <v>456</v>
      </c>
      <c r="E1112" s="13" t="s">
        <v>115</v>
      </c>
      <c r="F1112" s="14">
        <f t="shared" si="170"/>
        <v>14</v>
      </c>
      <c r="G1112" s="14">
        <f t="shared" si="170"/>
        <v>14</v>
      </c>
      <c r="H1112" s="14">
        <f t="shared" si="165"/>
        <v>0</v>
      </c>
      <c r="I1112" s="77">
        <f t="shared" si="166"/>
        <v>100</v>
      </c>
    </row>
    <row r="1113" spans="1:9" ht="12.75">
      <c r="A1113" s="46" t="s">
        <v>120</v>
      </c>
      <c r="B1113" s="13" t="s">
        <v>74</v>
      </c>
      <c r="C1113" s="13" t="s">
        <v>66</v>
      </c>
      <c r="D1113" s="45" t="s">
        <v>456</v>
      </c>
      <c r="E1113" s="13" t="s">
        <v>121</v>
      </c>
      <c r="F1113" s="14">
        <f t="shared" si="170"/>
        <v>14</v>
      </c>
      <c r="G1113" s="14">
        <f t="shared" si="170"/>
        <v>14</v>
      </c>
      <c r="H1113" s="14">
        <f t="shared" si="165"/>
        <v>0</v>
      </c>
      <c r="I1113" s="77">
        <f t="shared" si="166"/>
        <v>100</v>
      </c>
    </row>
    <row r="1114" spans="1:9" ht="12.75">
      <c r="A1114" s="46" t="s">
        <v>124</v>
      </c>
      <c r="B1114" s="13" t="s">
        <v>74</v>
      </c>
      <c r="C1114" s="13" t="s">
        <v>66</v>
      </c>
      <c r="D1114" s="45" t="s">
        <v>456</v>
      </c>
      <c r="E1114" s="13" t="s">
        <v>125</v>
      </c>
      <c r="F1114" s="14">
        <f>'пр. 4 Вед'!G1127</f>
        <v>14</v>
      </c>
      <c r="G1114" s="14">
        <f>'пр. 4 Вед'!H1127</f>
        <v>14</v>
      </c>
      <c r="H1114" s="14">
        <f t="shared" si="165"/>
        <v>0</v>
      </c>
      <c r="I1114" s="77">
        <f t="shared" si="166"/>
        <v>100</v>
      </c>
    </row>
    <row r="1115" spans="1:9" ht="12.75">
      <c r="A1115" s="46" t="s">
        <v>503</v>
      </c>
      <c r="B1115" s="13" t="s">
        <v>74</v>
      </c>
      <c r="C1115" s="13" t="s">
        <v>66</v>
      </c>
      <c r="D1115" s="13" t="s">
        <v>252</v>
      </c>
      <c r="E1115" s="13"/>
      <c r="F1115" s="14">
        <f>F1116</f>
        <v>398.7</v>
      </c>
      <c r="G1115" s="14">
        <f>G1116</f>
        <v>370.8</v>
      </c>
      <c r="H1115" s="14">
        <f t="shared" si="165"/>
        <v>27.899999999999977</v>
      </c>
      <c r="I1115" s="77">
        <f t="shared" si="166"/>
        <v>93.00225733634312</v>
      </c>
    </row>
    <row r="1116" spans="1:9" ht="12.75">
      <c r="A1116" s="46" t="s">
        <v>504</v>
      </c>
      <c r="B1116" s="13" t="s">
        <v>74</v>
      </c>
      <c r="C1116" s="13" t="s">
        <v>66</v>
      </c>
      <c r="D1116" s="13" t="s">
        <v>501</v>
      </c>
      <c r="E1116" s="13"/>
      <c r="F1116" s="14">
        <f>F1117+F1121</f>
        <v>398.7</v>
      </c>
      <c r="G1116" s="14">
        <f>G1117+G1121</f>
        <v>370.8</v>
      </c>
      <c r="H1116" s="14">
        <f t="shared" si="165"/>
        <v>27.899999999999977</v>
      </c>
      <c r="I1116" s="77">
        <f t="shared" si="166"/>
        <v>93.00225733634312</v>
      </c>
    </row>
    <row r="1117" spans="1:9" ht="38.25">
      <c r="A1117" s="46" t="s">
        <v>271</v>
      </c>
      <c r="B1117" s="13" t="s">
        <v>74</v>
      </c>
      <c r="C1117" s="13" t="s">
        <v>66</v>
      </c>
      <c r="D1117" s="13" t="s">
        <v>502</v>
      </c>
      <c r="E1117" s="13"/>
      <c r="F1117" s="14">
        <f aca="true" t="shared" si="171" ref="F1117:G1119">F1118</f>
        <v>346.4</v>
      </c>
      <c r="G1117" s="14">
        <f t="shared" si="171"/>
        <v>318.5</v>
      </c>
      <c r="H1117" s="14">
        <f t="shared" si="165"/>
        <v>27.899999999999977</v>
      </c>
      <c r="I1117" s="77">
        <f t="shared" si="166"/>
        <v>91.94572748267899</v>
      </c>
    </row>
    <row r="1118" spans="1:9" ht="25.5">
      <c r="A1118" s="46" t="s">
        <v>114</v>
      </c>
      <c r="B1118" s="13" t="s">
        <v>74</v>
      </c>
      <c r="C1118" s="13" t="s">
        <v>66</v>
      </c>
      <c r="D1118" s="13" t="s">
        <v>502</v>
      </c>
      <c r="E1118" s="13" t="s">
        <v>115</v>
      </c>
      <c r="F1118" s="14">
        <f t="shared" si="171"/>
        <v>346.4</v>
      </c>
      <c r="G1118" s="14">
        <f t="shared" si="171"/>
        <v>318.5</v>
      </c>
      <c r="H1118" s="14">
        <f t="shared" si="165"/>
        <v>27.899999999999977</v>
      </c>
      <c r="I1118" s="77">
        <f t="shared" si="166"/>
        <v>91.94572748267899</v>
      </c>
    </row>
    <row r="1119" spans="1:9" ht="12.75">
      <c r="A1119" s="46" t="s">
        <v>120</v>
      </c>
      <c r="B1119" s="13" t="s">
        <v>74</v>
      </c>
      <c r="C1119" s="13" t="s">
        <v>66</v>
      </c>
      <c r="D1119" s="13" t="s">
        <v>502</v>
      </c>
      <c r="E1119" s="13" t="s">
        <v>121</v>
      </c>
      <c r="F1119" s="14">
        <f t="shared" si="171"/>
        <v>346.4</v>
      </c>
      <c r="G1119" s="14">
        <f t="shared" si="171"/>
        <v>318.5</v>
      </c>
      <c r="H1119" s="14">
        <f t="shared" si="165"/>
        <v>27.899999999999977</v>
      </c>
      <c r="I1119" s="77">
        <f t="shared" si="166"/>
        <v>91.94572748267899</v>
      </c>
    </row>
    <row r="1120" spans="1:9" ht="12.75">
      <c r="A1120" s="46" t="s">
        <v>124</v>
      </c>
      <c r="B1120" s="13" t="s">
        <v>74</v>
      </c>
      <c r="C1120" s="13" t="s">
        <v>66</v>
      </c>
      <c r="D1120" s="13" t="s">
        <v>502</v>
      </c>
      <c r="E1120" s="13" t="s">
        <v>125</v>
      </c>
      <c r="F1120" s="14">
        <f>'пр. 4 Вед'!G1133</f>
        <v>346.4</v>
      </c>
      <c r="G1120" s="14">
        <f>'пр. 4 Вед'!H1133</f>
        <v>318.5</v>
      </c>
      <c r="H1120" s="14">
        <f t="shared" si="165"/>
        <v>27.899999999999977</v>
      </c>
      <c r="I1120" s="77">
        <f t="shared" si="166"/>
        <v>91.94572748267899</v>
      </c>
    </row>
    <row r="1121" spans="1:9" ht="12.75">
      <c r="A1121" s="46" t="s">
        <v>272</v>
      </c>
      <c r="B1121" s="13" t="s">
        <v>74</v>
      </c>
      <c r="C1121" s="13" t="s">
        <v>66</v>
      </c>
      <c r="D1121" s="13" t="s">
        <v>505</v>
      </c>
      <c r="E1121" s="13"/>
      <c r="F1121" s="14">
        <f aca="true" t="shared" si="172" ref="F1121:G1123">F1122</f>
        <v>52.3</v>
      </c>
      <c r="G1121" s="14">
        <f t="shared" si="172"/>
        <v>52.3</v>
      </c>
      <c r="H1121" s="14">
        <f t="shared" si="165"/>
        <v>0</v>
      </c>
      <c r="I1121" s="77">
        <f t="shared" si="166"/>
        <v>100</v>
      </c>
    </row>
    <row r="1122" spans="1:9" ht="25.5">
      <c r="A1122" s="46" t="s">
        <v>114</v>
      </c>
      <c r="B1122" s="13" t="s">
        <v>74</v>
      </c>
      <c r="C1122" s="13" t="s">
        <v>66</v>
      </c>
      <c r="D1122" s="13" t="s">
        <v>505</v>
      </c>
      <c r="E1122" s="13" t="s">
        <v>115</v>
      </c>
      <c r="F1122" s="14">
        <f t="shared" si="172"/>
        <v>52.3</v>
      </c>
      <c r="G1122" s="14">
        <f t="shared" si="172"/>
        <v>52.3</v>
      </c>
      <c r="H1122" s="14">
        <f t="shared" si="165"/>
        <v>0</v>
      </c>
      <c r="I1122" s="77">
        <f t="shared" si="166"/>
        <v>100</v>
      </c>
    </row>
    <row r="1123" spans="1:9" ht="12.75">
      <c r="A1123" s="46" t="s">
        <v>120</v>
      </c>
      <c r="B1123" s="13" t="s">
        <v>74</v>
      </c>
      <c r="C1123" s="13" t="s">
        <v>66</v>
      </c>
      <c r="D1123" s="13" t="s">
        <v>505</v>
      </c>
      <c r="E1123" s="13" t="s">
        <v>121</v>
      </c>
      <c r="F1123" s="14">
        <f t="shared" si="172"/>
        <v>52.3</v>
      </c>
      <c r="G1123" s="14">
        <f t="shared" si="172"/>
        <v>52.3</v>
      </c>
      <c r="H1123" s="14">
        <f t="shared" si="165"/>
        <v>0</v>
      </c>
      <c r="I1123" s="77">
        <f t="shared" si="166"/>
        <v>100</v>
      </c>
    </row>
    <row r="1124" spans="1:9" ht="12.75">
      <c r="A1124" s="46" t="s">
        <v>124</v>
      </c>
      <c r="B1124" s="13" t="s">
        <v>74</v>
      </c>
      <c r="C1124" s="13" t="s">
        <v>66</v>
      </c>
      <c r="D1124" s="13" t="s">
        <v>505</v>
      </c>
      <c r="E1124" s="13" t="s">
        <v>125</v>
      </c>
      <c r="F1124" s="14">
        <f>'пр. 4 Вед'!G1137</f>
        <v>52.3</v>
      </c>
      <c r="G1124" s="14">
        <f>'пр. 4 Вед'!H1137</f>
        <v>52.3</v>
      </c>
      <c r="H1124" s="14">
        <f t="shared" si="165"/>
        <v>0</v>
      </c>
      <c r="I1124" s="77">
        <f t="shared" si="166"/>
        <v>100</v>
      </c>
    </row>
    <row r="1125" spans="1:9" ht="12.75">
      <c r="A1125" s="46" t="s">
        <v>29</v>
      </c>
      <c r="B1125" s="13" t="s">
        <v>74</v>
      </c>
      <c r="C1125" s="13" t="s">
        <v>66</v>
      </c>
      <c r="D1125" s="13" t="s">
        <v>269</v>
      </c>
      <c r="E1125" s="13"/>
      <c r="F1125" s="14">
        <f aca="true" t="shared" si="173" ref="F1125:G1128">F1126</f>
        <v>8726.1</v>
      </c>
      <c r="G1125" s="14">
        <f t="shared" si="173"/>
        <v>8723.1</v>
      </c>
      <c r="H1125" s="14">
        <f t="shared" si="165"/>
        <v>3</v>
      </c>
      <c r="I1125" s="77">
        <f t="shared" si="166"/>
        <v>99.96562038023859</v>
      </c>
    </row>
    <row r="1126" spans="1:9" ht="25.5">
      <c r="A1126" s="46" t="s">
        <v>289</v>
      </c>
      <c r="B1126" s="13" t="s">
        <v>74</v>
      </c>
      <c r="C1126" s="13" t="s">
        <v>66</v>
      </c>
      <c r="D1126" s="13" t="s">
        <v>528</v>
      </c>
      <c r="E1126" s="13"/>
      <c r="F1126" s="14">
        <f t="shared" si="173"/>
        <v>8726.1</v>
      </c>
      <c r="G1126" s="14">
        <f t="shared" si="173"/>
        <v>8723.1</v>
      </c>
      <c r="H1126" s="14">
        <f t="shared" si="165"/>
        <v>3</v>
      </c>
      <c r="I1126" s="77">
        <f t="shared" si="166"/>
        <v>99.96562038023859</v>
      </c>
    </row>
    <row r="1127" spans="1:9" ht="12.75">
      <c r="A1127" s="46" t="s">
        <v>288</v>
      </c>
      <c r="B1127" s="13" t="s">
        <v>74</v>
      </c>
      <c r="C1127" s="13" t="s">
        <v>66</v>
      </c>
      <c r="D1127" s="13" t="s">
        <v>529</v>
      </c>
      <c r="E1127" s="13"/>
      <c r="F1127" s="14">
        <f t="shared" si="173"/>
        <v>8726.1</v>
      </c>
      <c r="G1127" s="14">
        <f t="shared" si="173"/>
        <v>8723.1</v>
      </c>
      <c r="H1127" s="14">
        <f t="shared" si="165"/>
        <v>3</v>
      </c>
      <c r="I1127" s="77">
        <f t="shared" si="166"/>
        <v>99.96562038023859</v>
      </c>
    </row>
    <row r="1128" spans="1:9" ht="25.5">
      <c r="A1128" s="46" t="s">
        <v>114</v>
      </c>
      <c r="B1128" s="13" t="s">
        <v>74</v>
      </c>
      <c r="C1128" s="13" t="s">
        <v>66</v>
      </c>
      <c r="D1128" s="13" t="s">
        <v>529</v>
      </c>
      <c r="E1128" s="13" t="s">
        <v>115</v>
      </c>
      <c r="F1128" s="14">
        <f t="shared" si="173"/>
        <v>8726.1</v>
      </c>
      <c r="G1128" s="14">
        <f t="shared" si="173"/>
        <v>8723.1</v>
      </c>
      <c r="H1128" s="14">
        <f t="shared" si="165"/>
        <v>3</v>
      </c>
      <c r="I1128" s="77">
        <f t="shared" si="166"/>
        <v>99.96562038023859</v>
      </c>
    </row>
    <row r="1129" spans="1:9" ht="12.75">
      <c r="A1129" s="46" t="s">
        <v>120</v>
      </c>
      <c r="B1129" s="13" t="s">
        <v>74</v>
      </c>
      <c r="C1129" s="13" t="s">
        <v>66</v>
      </c>
      <c r="D1129" s="13" t="s">
        <v>529</v>
      </c>
      <c r="E1129" s="13" t="s">
        <v>121</v>
      </c>
      <c r="F1129" s="14">
        <f>F1130+F1131</f>
        <v>8726.1</v>
      </c>
      <c r="G1129" s="14">
        <f>G1130+G1131</f>
        <v>8723.1</v>
      </c>
      <c r="H1129" s="14">
        <f t="shared" si="165"/>
        <v>3</v>
      </c>
      <c r="I1129" s="77">
        <f t="shared" si="166"/>
        <v>99.96562038023859</v>
      </c>
    </row>
    <row r="1130" spans="1:9" ht="38.25">
      <c r="A1130" s="46" t="s">
        <v>122</v>
      </c>
      <c r="B1130" s="13" t="s">
        <v>74</v>
      </c>
      <c r="C1130" s="13" t="s">
        <v>66</v>
      </c>
      <c r="D1130" s="13" t="s">
        <v>529</v>
      </c>
      <c r="E1130" s="13" t="s">
        <v>123</v>
      </c>
      <c r="F1130" s="14">
        <f>'пр. 4 Вед'!G1143</f>
        <v>8569.1</v>
      </c>
      <c r="G1130" s="14">
        <f>'пр. 4 Вед'!H1143</f>
        <v>8569.1</v>
      </c>
      <c r="H1130" s="14">
        <f t="shared" si="165"/>
        <v>0</v>
      </c>
      <c r="I1130" s="77">
        <f t="shared" si="166"/>
        <v>100</v>
      </c>
    </row>
    <row r="1131" spans="1:9" ht="12.75">
      <c r="A1131" s="46" t="s">
        <v>124</v>
      </c>
      <c r="B1131" s="13" t="s">
        <v>74</v>
      </c>
      <c r="C1131" s="13" t="s">
        <v>66</v>
      </c>
      <c r="D1131" s="13" t="s">
        <v>529</v>
      </c>
      <c r="E1131" s="13" t="s">
        <v>125</v>
      </c>
      <c r="F1131" s="14">
        <f>'пр. 4 Вед'!G1144</f>
        <v>157</v>
      </c>
      <c r="G1131" s="14">
        <f>'пр. 4 Вед'!H1144</f>
        <v>154</v>
      </c>
      <c r="H1131" s="14">
        <f t="shared" si="165"/>
        <v>3</v>
      </c>
      <c r="I1131" s="77">
        <f t="shared" si="166"/>
        <v>98.08917197452229</v>
      </c>
    </row>
    <row r="1132" spans="1:9" ht="12.75">
      <c r="A1132" s="46" t="s">
        <v>30</v>
      </c>
      <c r="B1132" s="13" t="s">
        <v>74</v>
      </c>
      <c r="C1132" s="13" t="s">
        <v>66</v>
      </c>
      <c r="D1132" s="13" t="s">
        <v>268</v>
      </c>
      <c r="E1132" s="13"/>
      <c r="F1132" s="14">
        <f aca="true" t="shared" si="174" ref="F1132:G1135">F1133</f>
        <v>100</v>
      </c>
      <c r="G1132" s="14">
        <f t="shared" si="174"/>
        <v>100</v>
      </c>
      <c r="H1132" s="14">
        <f t="shared" si="165"/>
        <v>0</v>
      </c>
      <c r="I1132" s="77">
        <f t="shared" si="166"/>
        <v>100</v>
      </c>
    </row>
    <row r="1133" spans="1:9" ht="12.75">
      <c r="A1133" s="46" t="s">
        <v>530</v>
      </c>
      <c r="B1133" s="13" t="s">
        <v>74</v>
      </c>
      <c r="C1133" s="13" t="s">
        <v>66</v>
      </c>
      <c r="D1133" s="13" t="s">
        <v>556</v>
      </c>
      <c r="E1133" s="13"/>
      <c r="F1133" s="14">
        <f t="shared" si="174"/>
        <v>100</v>
      </c>
      <c r="G1133" s="14">
        <f t="shared" si="174"/>
        <v>100</v>
      </c>
      <c r="H1133" s="14">
        <f t="shared" si="165"/>
        <v>0</v>
      </c>
      <c r="I1133" s="77">
        <f t="shared" si="166"/>
        <v>100</v>
      </c>
    </row>
    <row r="1134" spans="1:9" ht="25.5">
      <c r="A1134" s="46" t="s">
        <v>114</v>
      </c>
      <c r="B1134" s="13" t="s">
        <v>74</v>
      </c>
      <c r="C1134" s="13" t="s">
        <v>66</v>
      </c>
      <c r="D1134" s="13" t="s">
        <v>556</v>
      </c>
      <c r="E1134" s="13" t="s">
        <v>115</v>
      </c>
      <c r="F1134" s="14">
        <f t="shared" si="174"/>
        <v>100</v>
      </c>
      <c r="G1134" s="14">
        <f t="shared" si="174"/>
        <v>100</v>
      </c>
      <c r="H1134" s="14">
        <f t="shared" si="165"/>
        <v>0</v>
      </c>
      <c r="I1134" s="77">
        <f t="shared" si="166"/>
        <v>100</v>
      </c>
    </row>
    <row r="1135" spans="1:9" ht="12.75">
      <c r="A1135" s="46" t="s">
        <v>120</v>
      </c>
      <c r="B1135" s="13" t="s">
        <v>74</v>
      </c>
      <c r="C1135" s="13" t="s">
        <v>66</v>
      </c>
      <c r="D1135" s="13" t="s">
        <v>556</v>
      </c>
      <c r="E1135" s="13" t="s">
        <v>121</v>
      </c>
      <c r="F1135" s="14">
        <f t="shared" si="174"/>
        <v>100</v>
      </c>
      <c r="G1135" s="14">
        <f t="shared" si="174"/>
        <v>100</v>
      </c>
      <c r="H1135" s="14">
        <f t="shared" si="165"/>
        <v>0</v>
      </c>
      <c r="I1135" s="77">
        <f t="shared" si="166"/>
        <v>100</v>
      </c>
    </row>
    <row r="1136" spans="1:9" ht="12.75">
      <c r="A1136" s="46" t="s">
        <v>124</v>
      </c>
      <c r="B1136" s="13" t="s">
        <v>74</v>
      </c>
      <c r="C1136" s="13" t="s">
        <v>66</v>
      </c>
      <c r="D1136" s="13" t="s">
        <v>556</v>
      </c>
      <c r="E1136" s="13" t="s">
        <v>125</v>
      </c>
      <c r="F1136" s="14">
        <f>'пр. 4 Вед'!G1149</f>
        <v>100</v>
      </c>
      <c r="G1136" s="14">
        <f>'пр. 4 Вед'!H1149</f>
        <v>100</v>
      </c>
      <c r="H1136" s="14">
        <f t="shared" si="165"/>
        <v>0</v>
      </c>
      <c r="I1136" s="77">
        <f t="shared" si="166"/>
        <v>100</v>
      </c>
    </row>
    <row r="1137" spans="1:9" ht="12.75">
      <c r="A1137" s="60" t="s">
        <v>87</v>
      </c>
      <c r="B1137" s="29" t="s">
        <v>78</v>
      </c>
      <c r="C1137" s="29" t="s">
        <v>36</v>
      </c>
      <c r="D1137" s="13"/>
      <c r="E1137" s="13"/>
      <c r="F1137" s="30">
        <f>F1138</f>
        <v>5617</v>
      </c>
      <c r="G1137" s="30">
        <f>G1138</f>
        <v>5617</v>
      </c>
      <c r="H1137" s="30">
        <f t="shared" si="165"/>
        <v>0</v>
      </c>
      <c r="I1137" s="82">
        <f t="shared" si="166"/>
        <v>100</v>
      </c>
    </row>
    <row r="1138" spans="1:9" ht="12.75">
      <c r="A1138" s="60" t="s">
        <v>13</v>
      </c>
      <c r="B1138" s="29" t="s">
        <v>78</v>
      </c>
      <c r="C1138" s="29" t="s">
        <v>67</v>
      </c>
      <c r="D1138" s="29"/>
      <c r="E1138" s="13"/>
      <c r="F1138" s="30">
        <f aca="true" t="shared" si="175" ref="F1138:G1143">F1139</f>
        <v>5617</v>
      </c>
      <c r="G1138" s="30">
        <f t="shared" si="175"/>
        <v>5617</v>
      </c>
      <c r="H1138" s="30">
        <f t="shared" si="165"/>
        <v>0</v>
      </c>
      <c r="I1138" s="82">
        <f t="shared" si="166"/>
        <v>100</v>
      </c>
    </row>
    <row r="1139" spans="1:9" ht="12.75">
      <c r="A1139" s="46" t="s">
        <v>243</v>
      </c>
      <c r="B1139" s="13" t="s">
        <v>78</v>
      </c>
      <c r="C1139" s="13" t="s">
        <v>67</v>
      </c>
      <c r="D1139" s="13" t="s">
        <v>261</v>
      </c>
      <c r="E1139" s="13"/>
      <c r="F1139" s="14">
        <f t="shared" si="175"/>
        <v>5617</v>
      </c>
      <c r="G1139" s="14">
        <f t="shared" si="175"/>
        <v>5617</v>
      </c>
      <c r="H1139" s="14">
        <f t="shared" si="165"/>
        <v>0</v>
      </c>
      <c r="I1139" s="77">
        <f t="shared" si="166"/>
        <v>100</v>
      </c>
    </row>
    <row r="1140" spans="1:9" ht="25.5">
      <c r="A1140" s="46" t="s">
        <v>289</v>
      </c>
      <c r="B1140" s="13" t="s">
        <v>78</v>
      </c>
      <c r="C1140" s="13" t="s">
        <v>67</v>
      </c>
      <c r="D1140" s="13" t="s">
        <v>510</v>
      </c>
      <c r="E1140" s="13"/>
      <c r="F1140" s="14">
        <f t="shared" si="175"/>
        <v>5617</v>
      </c>
      <c r="G1140" s="14">
        <f t="shared" si="175"/>
        <v>5617</v>
      </c>
      <c r="H1140" s="14">
        <f t="shared" si="165"/>
        <v>0</v>
      </c>
      <c r="I1140" s="77">
        <f t="shared" si="166"/>
        <v>100</v>
      </c>
    </row>
    <row r="1141" spans="1:9" ht="12.75">
      <c r="A1141" s="46" t="s">
        <v>288</v>
      </c>
      <c r="B1141" s="13" t="s">
        <v>78</v>
      </c>
      <c r="C1141" s="13" t="s">
        <v>67</v>
      </c>
      <c r="D1141" s="13" t="s">
        <v>511</v>
      </c>
      <c r="E1141" s="13"/>
      <c r="F1141" s="14">
        <f t="shared" si="175"/>
        <v>5617</v>
      </c>
      <c r="G1141" s="14">
        <f t="shared" si="175"/>
        <v>5617</v>
      </c>
      <c r="H1141" s="14">
        <f t="shared" si="165"/>
        <v>0</v>
      </c>
      <c r="I1141" s="77">
        <f t="shared" si="166"/>
        <v>100</v>
      </c>
    </row>
    <row r="1142" spans="1:9" ht="25.5">
      <c r="A1142" s="46" t="s">
        <v>114</v>
      </c>
      <c r="B1142" s="13" t="s">
        <v>78</v>
      </c>
      <c r="C1142" s="13" t="s">
        <v>67</v>
      </c>
      <c r="D1142" s="13" t="s">
        <v>511</v>
      </c>
      <c r="E1142" s="13" t="s">
        <v>115</v>
      </c>
      <c r="F1142" s="14">
        <f t="shared" si="175"/>
        <v>5617</v>
      </c>
      <c r="G1142" s="14">
        <f t="shared" si="175"/>
        <v>5617</v>
      </c>
      <c r="H1142" s="14">
        <f t="shared" si="165"/>
        <v>0</v>
      </c>
      <c r="I1142" s="77">
        <f t="shared" si="166"/>
        <v>100</v>
      </c>
    </row>
    <row r="1143" spans="1:9" ht="12.75">
      <c r="A1143" s="46" t="s">
        <v>116</v>
      </c>
      <c r="B1143" s="13" t="s">
        <v>78</v>
      </c>
      <c r="C1143" s="13" t="s">
        <v>67</v>
      </c>
      <c r="D1143" s="13" t="s">
        <v>511</v>
      </c>
      <c r="E1143" s="13" t="s">
        <v>117</v>
      </c>
      <c r="F1143" s="14">
        <f t="shared" si="175"/>
        <v>5617</v>
      </c>
      <c r="G1143" s="14">
        <f t="shared" si="175"/>
        <v>5617</v>
      </c>
      <c r="H1143" s="14">
        <f t="shared" si="165"/>
        <v>0</v>
      </c>
      <c r="I1143" s="77">
        <f t="shared" si="166"/>
        <v>100</v>
      </c>
    </row>
    <row r="1144" spans="1:9" ht="38.25">
      <c r="A1144" s="46" t="s">
        <v>118</v>
      </c>
      <c r="B1144" s="13" t="s">
        <v>78</v>
      </c>
      <c r="C1144" s="13" t="s">
        <v>67</v>
      </c>
      <c r="D1144" s="13" t="s">
        <v>511</v>
      </c>
      <c r="E1144" s="13" t="s">
        <v>119</v>
      </c>
      <c r="F1144" s="14">
        <f>'пр. 4 Вед'!G479</f>
        <v>5617</v>
      </c>
      <c r="G1144" s="14">
        <f>'пр. 4 Вед'!H479</f>
        <v>5617</v>
      </c>
      <c r="H1144" s="14">
        <f t="shared" si="165"/>
        <v>0</v>
      </c>
      <c r="I1144" s="77">
        <f t="shared" si="166"/>
        <v>100</v>
      </c>
    </row>
    <row r="1145" spans="1:9" ht="12.75">
      <c r="A1145" s="60" t="s">
        <v>346</v>
      </c>
      <c r="B1145" s="29" t="s">
        <v>89</v>
      </c>
      <c r="C1145" s="29" t="s">
        <v>36</v>
      </c>
      <c r="D1145" s="29"/>
      <c r="E1145" s="29"/>
      <c r="F1145" s="30">
        <f aca="true" t="shared" si="176" ref="F1145:G1149">F1146</f>
        <v>630.9</v>
      </c>
      <c r="G1145" s="30">
        <f t="shared" si="176"/>
        <v>630.9</v>
      </c>
      <c r="H1145" s="30">
        <f t="shared" si="165"/>
        <v>0</v>
      </c>
      <c r="I1145" s="82">
        <f t="shared" si="166"/>
        <v>100</v>
      </c>
    </row>
    <row r="1146" spans="1:9" ht="12.75">
      <c r="A1146" s="60" t="s">
        <v>95</v>
      </c>
      <c r="B1146" s="29" t="s">
        <v>89</v>
      </c>
      <c r="C1146" s="29" t="s">
        <v>66</v>
      </c>
      <c r="D1146" s="29"/>
      <c r="E1146" s="29"/>
      <c r="F1146" s="30">
        <f t="shared" si="176"/>
        <v>630.9</v>
      </c>
      <c r="G1146" s="30">
        <f t="shared" si="176"/>
        <v>630.9</v>
      </c>
      <c r="H1146" s="30">
        <f t="shared" si="165"/>
        <v>0</v>
      </c>
      <c r="I1146" s="82">
        <f t="shared" si="166"/>
        <v>100</v>
      </c>
    </row>
    <row r="1147" spans="1:9" ht="12.75">
      <c r="A1147" s="46" t="s">
        <v>93</v>
      </c>
      <c r="B1147" s="13" t="s">
        <v>89</v>
      </c>
      <c r="C1147" s="13" t="s">
        <v>66</v>
      </c>
      <c r="D1147" s="13" t="s">
        <v>259</v>
      </c>
      <c r="E1147" s="13"/>
      <c r="F1147" s="14">
        <f t="shared" si="176"/>
        <v>630.9</v>
      </c>
      <c r="G1147" s="14">
        <f t="shared" si="176"/>
        <v>630.9</v>
      </c>
      <c r="H1147" s="14">
        <f t="shared" si="165"/>
        <v>0</v>
      </c>
      <c r="I1147" s="77">
        <f t="shared" si="166"/>
        <v>100</v>
      </c>
    </row>
    <row r="1148" spans="1:9" ht="12.75">
      <c r="A1148" s="46" t="s">
        <v>94</v>
      </c>
      <c r="B1148" s="13" t="s">
        <v>89</v>
      </c>
      <c r="C1148" s="13" t="s">
        <v>66</v>
      </c>
      <c r="D1148" s="13" t="s">
        <v>545</v>
      </c>
      <c r="E1148" s="13"/>
      <c r="F1148" s="14">
        <f t="shared" si="176"/>
        <v>630.9</v>
      </c>
      <c r="G1148" s="14">
        <f t="shared" si="176"/>
        <v>630.9</v>
      </c>
      <c r="H1148" s="14">
        <f t="shared" si="165"/>
        <v>0</v>
      </c>
      <c r="I1148" s="77">
        <f t="shared" si="166"/>
        <v>100</v>
      </c>
    </row>
    <row r="1149" spans="1:9" ht="12.75">
      <c r="A1149" s="46" t="s">
        <v>92</v>
      </c>
      <c r="B1149" s="13" t="s">
        <v>89</v>
      </c>
      <c r="C1149" s="13" t="s">
        <v>66</v>
      </c>
      <c r="D1149" s="13" t="s">
        <v>545</v>
      </c>
      <c r="E1149" s="13" t="s">
        <v>134</v>
      </c>
      <c r="F1149" s="14">
        <f t="shared" si="176"/>
        <v>630.9</v>
      </c>
      <c r="G1149" s="14">
        <f t="shared" si="176"/>
        <v>630.9</v>
      </c>
      <c r="H1149" s="14">
        <f t="shared" si="165"/>
        <v>0</v>
      </c>
      <c r="I1149" s="77">
        <f t="shared" si="166"/>
        <v>100</v>
      </c>
    </row>
    <row r="1150" spans="1:9" ht="12.75">
      <c r="A1150" s="46" t="s">
        <v>135</v>
      </c>
      <c r="B1150" s="13" t="s">
        <v>89</v>
      </c>
      <c r="C1150" s="13" t="s">
        <v>66</v>
      </c>
      <c r="D1150" s="13" t="s">
        <v>545</v>
      </c>
      <c r="E1150" s="13" t="s">
        <v>136</v>
      </c>
      <c r="F1150" s="14">
        <f>'пр. 4 Вед'!G351</f>
        <v>630.9</v>
      </c>
      <c r="G1150" s="14">
        <f>'пр. 4 Вед'!H351</f>
        <v>630.9</v>
      </c>
      <c r="H1150" s="14">
        <f t="shared" si="165"/>
        <v>0</v>
      </c>
      <c r="I1150" s="77">
        <f t="shared" si="166"/>
        <v>100</v>
      </c>
    </row>
    <row r="1151" spans="1:9" ht="12.75">
      <c r="A1151" s="65" t="s">
        <v>77</v>
      </c>
      <c r="B1151" s="29"/>
      <c r="C1151" s="29"/>
      <c r="D1151" s="29"/>
      <c r="E1151" s="29"/>
      <c r="F1151" s="40">
        <f>F9+F225+F259+F352+F459+F854+F1020+F1081+F1137+F1145+F217</f>
        <v>860890.8</v>
      </c>
      <c r="G1151" s="40">
        <f>G9+G225+G259+G352+G459+G854+G1020+G1081+G1137+G1145+G217</f>
        <v>844026.23</v>
      </c>
      <c r="H1151" s="30">
        <f t="shared" si="165"/>
        <v>16864.570000000065</v>
      </c>
      <c r="I1151" s="82">
        <f t="shared" si="166"/>
        <v>98.0410326141248</v>
      </c>
    </row>
    <row r="1155" ht="12.75">
      <c r="F1155" s="56"/>
    </row>
  </sheetData>
  <sheetProtection/>
  <mergeCells count="5">
    <mergeCell ref="A1:I1"/>
    <mergeCell ref="A2:I2"/>
    <mergeCell ref="A3:I3"/>
    <mergeCell ref="A4:I4"/>
    <mergeCell ref="A5:I5"/>
  </mergeCells>
  <printOptions/>
  <pageMargins left="1.31" right="0.3937007874015748" top="0.3937007874015748" bottom="0.3937007874015748" header="0.1968503937007874" footer="0.196850393700787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84"/>
  <sheetViews>
    <sheetView zoomScale="75" zoomScaleNormal="75" workbookViewId="0" topLeftCell="A65">
      <selection activeCell="A1" sqref="A1:J1278"/>
    </sheetView>
  </sheetViews>
  <sheetFormatPr defaultColWidth="9.25390625" defaultRowHeight="12.75"/>
  <cols>
    <col min="1" max="1" width="74.25390625" style="7" customWidth="1"/>
    <col min="2" max="2" width="4.625" style="38" customWidth="1"/>
    <col min="3" max="4" width="3.75390625" style="38" customWidth="1"/>
    <col min="5" max="5" width="15.00390625" style="38" customWidth="1"/>
    <col min="6" max="6" width="4.375" style="38" customWidth="1"/>
    <col min="7" max="7" width="8.75390625" style="38" customWidth="1"/>
    <col min="8" max="8" width="10.375" style="101" customWidth="1"/>
    <col min="9" max="9" width="11.375" style="7" customWidth="1"/>
    <col min="10" max="10" width="8.25390625" style="7" customWidth="1"/>
    <col min="11" max="11" width="9.25390625" style="101" customWidth="1"/>
    <col min="12" max="12" width="9.25390625" style="121" customWidth="1"/>
    <col min="13" max="13" width="55.00390625" style="121" customWidth="1"/>
    <col min="14" max="14" width="5.00390625" style="121" customWidth="1"/>
    <col min="15" max="19" width="9.25390625" style="121" customWidth="1"/>
    <col min="20" max="16384" width="9.25390625" style="7" customWidth="1"/>
  </cols>
  <sheetData>
    <row r="1" spans="1:10" ht="14.25" customHeight="1">
      <c r="A1" s="257" t="s">
        <v>653</v>
      </c>
      <c r="B1" s="257"/>
      <c r="C1" s="257"/>
      <c r="D1" s="257"/>
      <c r="E1" s="257"/>
      <c r="F1" s="257"/>
      <c r="G1" s="257"/>
      <c r="H1" s="258"/>
      <c r="I1" s="258"/>
      <c r="J1" s="258"/>
    </row>
    <row r="2" spans="1:10" ht="14.25" customHeight="1">
      <c r="A2" s="249" t="s">
        <v>174</v>
      </c>
      <c r="B2" s="249"/>
      <c r="C2" s="249"/>
      <c r="D2" s="249"/>
      <c r="E2" s="249"/>
      <c r="F2" s="249"/>
      <c r="G2" s="249"/>
      <c r="H2" s="248"/>
      <c r="I2" s="248"/>
      <c r="J2" s="248"/>
    </row>
    <row r="3" spans="1:10" ht="14.25" customHeight="1">
      <c r="A3" s="249" t="str">
        <f>'пр.2 РзПз'!A3:G3</f>
        <v>"Об исполнении бюджета муиципального образования "Сусуманский городской округ" на 2016 год</v>
      </c>
      <c r="B3" s="248"/>
      <c r="C3" s="248"/>
      <c r="D3" s="248"/>
      <c r="E3" s="248"/>
      <c r="F3" s="248"/>
      <c r="G3" s="248"/>
      <c r="H3" s="248"/>
      <c r="I3" s="248"/>
      <c r="J3" s="248"/>
    </row>
    <row r="4" spans="1:10" ht="14.25" customHeight="1">
      <c r="A4" s="249" t="str">
        <f>'пр.2 РзПз'!A4:G4</f>
        <v>от 19.05.2017 г. № 192</v>
      </c>
      <c r="B4" s="249"/>
      <c r="C4" s="249"/>
      <c r="D4" s="249"/>
      <c r="E4" s="249"/>
      <c r="F4" s="249"/>
      <c r="G4" s="249"/>
      <c r="H4" s="248"/>
      <c r="I4" s="248"/>
      <c r="J4" s="248"/>
    </row>
    <row r="5" spans="1:10" ht="14.25" customHeight="1">
      <c r="A5" s="26"/>
      <c r="B5" s="26"/>
      <c r="C5" s="26"/>
      <c r="D5" s="26"/>
      <c r="E5" s="26"/>
      <c r="F5" s="26"/>
      <c r="G5" s="26"/>
      <c r="H5" s="120"/>
      <c r="I5" s="119"/>
      <c r="J5" s="119"/>
    </row>
    <row r="6" spans="1:10" ht="36.75" customHeight="1">
      <c r="A6" s="259" t="s">
        <v>782</v>
      </c>
      <c r="B6" s="259"/>
      <c r="C6" s="259"/>
      <c r="D6" s="259"/>
      <c r="E6" s="259"/>
      <c r="F6" s="259"/>
      <c r="G6" s="259"/>
      <c r="H6" s="260"/>
      <c r="I6" s="260"/>
      <c r="J6" s="260"/>
    </row>
    <row r="7" spans="13:18" ht="12.75" hidden="1">
      <c r="M7" s="191"/>
      <c r="N7" s="191"/>
      <c r="O7" s="191"/>
      <c r="P7" s="191"/>
      <c r="Q7" s="191"/>
      <c r="R7" s="191"/>
    </row>
    <row r="8" spans="1:10" ht="48">
      <c r="A8" s="18" t="s">
        <v>32</v>
      </c>
      <c r="B8" s="39" t="s">
        <v>0</v>
      </c>
      <c r="C8" s="39" t="s">
        <v>46</v>
      </c>
      <c r="D8" s="39" t="s">
        <v>45</v>
      </c>
      <c r="E8" s="39" t="s">
        <v>47</v>
      </c>
      <c r="F8" s="39" t="s">
        <v>48</v>
      </c>
      <c r="G8" s="91" t="s">
        <v>774</v>
      </c>
      <c r="H8" s="103" t="s">
        <v>779</v>
      </c>
      <c r="I8" s="92" t="s">
        <v>776</v>
      </c>
      <c r="J8" s="91" t="s">
        <v>780</v>
      </c>
    </row>
    <row r="9" spans="1:18" ht="12.75">
      <c r="A9" s="18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104">
        <v>8</v>
      </c>
      <c r="I9" s="198">
        <v>9</v>
      </c>
      <c r="J9" s="198">
        <v>10</v>
      </c>
      <c r="L9" s="194"/>
      <c r="M9" s="191"/>
      <c r="N9" s="191"/>
      <c r="O9" s="195"/>
      <c r="P9" s="195"/>
      <c r="Q9" s="195"/>
      <c r="R9" s="195"/>
    </row>
    <row r="10" spans="1:18" ht="17.25" customHeight="1">
      <c r="A10" s="65" t="s">
        <v>169</v>
      </c>
      <c r="B10" s="29" t="s">
        <v>558</v>
      </c>
      <c r="C10" s="29"/>
      <c r="D10" s="32"/>
      <c r="E10" s="32"/>
      <c r="F10" s="32"/>
      <c r="G10" s="30">
        <f>G11+G130+G256+G270+G229+G169+G122</f>
        <v>313306.70000000007</v>
      </c>
      <c r="H10" s="105">
        <f>H11+H130+H256+H270+H229+H169+H122</f>
        <v>307553.7</v>
      </c>
      <c r="I10" s="30">
        <f aca="true" t="shared" si="0" ref="I10:I73">G10-H10</f>
        <v>5753.000000000058</v>
      </c>
      <c r="J10" s="82">
        <f aca="true" t="shared" si="1" ref="J10:J73">H10/G10*100</f>
        <v>98.16378009152052</v>
      </c>
      <c r="M10" s="191"/>
      <c r="N10" s="191"/>
      <c r="O10" s="195"/>
      <c r="P10" s="195"/>
      <c r="Q10" s="195"/>
      <c r="R10" s="195"/>
    </row>
    <row r="11" spans="1:18" ht="12.75">
      <c r="A11" s="65" t="s">
        <v>2</v>
      </c>
      <c r="B11" s="29" t="s">
        <v>558</v>
      </c>
      <c r="C11" s="29" t="s">
        <v>66</v>
      </c>
      <c r="D11" s="29" t="s">
        <v>36</v>
      </c>
      <c r="E11" s="13"/>
      <c r="F11" s="13"/>
      <c r="G11" s="30">
        <f>G12+G20+G48</f>
        <v>119340.00000000001</v>
      </c>
      <c r="H11" s="105">
        <f>H12+H20+H48</f>
        <v>116381.2</v>
      </c>
      <c r="I11" s="30">
        <f t="shared" si="0"/>
        <v>2958.8000000000175</v>
      </c>
      <c r="J11" s="82">
        <f t="shared" si="1"/>
        <v>97.52069716775597</v>
      </c>
      <c r="M11" s="191"/>
      <c r="N11" s="191"/>
      <c r="O11" s="195"/>
      <c r="P11" s="195"/>
      <c r="Q11" s="195"/>
      <c r="R11" s="195"/>
    </row>
    <row r="12" spans="1:18" ht="25.5">
      <c r="A12" s="60" t="s">
        <v>15</v>
      </c>
      <c r="B12" s="37" t="s">
        <v>558</v>
      </c>
      <c r="C12" s="29" t="s">
        <v>66</v>
      </c>
      <c r="D12" s="29" t="s">
        <v>67</v>
      </c>
      <c r="E12" s="29"/>
      <c r="F12" s="29"/>
      <c r="G12" s="30">
        <f aca="true" t="shared" si="2" ref="G12:H16">G13</f>
        <v>3803.4</v>
      </c>
      <c r="H12" s="105">
        <f t="shared" si="2"/>
        <v>3681.8</v>
      </c>
      <c r="I12" s="30">
        <f t="shared" si="0"/>
        <v>121.59999999999991</v>
      </c>
      <c r="J12" s="82">
        <f t="shared" si="1"/>
        <v>96.80286059841195</v>
      </c>
      <c r="M12" s="191"/>
      <c r="N12" s="191"/>
      <c r="O12" s="195"/>
      <c r="P12" s="195"/>
      <c r="Q12" s="195"/>
      <c r="R12" s="195"/>
    </row>
    <row r="13" spans="1:18" ht="24.75" customHeight="1">
      <c r="A13" s="46" t="s">
        <v>557</v>
      </c>
      <c r="B13" s="12" t="s">
        <v>558</v>
      </c>
      <c r="C13" s="13" t="s">
        <v>66</v>
      </c>
      <c r="D13" s="13" t="s">
        <v>67</v>
      </c>
      <c r="E13" s="13" t="s">
        <v>251</v>
      </c>
      <c r="F13" s="13"/>
      <c r="G13" s="14">
        <f t="shared" si="2"/>
        <v>3803.4</v>
      </c>
      <c r="H13" s="87">
        <f t="shared" si="2"/>
        <v>3681.8</v>
      </c>
      <c r="I13" s="14">
        <f t="shared" si="0"/>
        <v>121.59999999999991</v>
      </c>
      <c r="J13" s="77">
        <f t="shared" si="1"/>
        <v>96.80286059841195</v>
      </c>
      <c r="M13" s="191"/>
      <c r="N13" s="191"/>
      <c r="O13" s="195"/>
      <c r="P13" s="195"/>
      <c r="Q13" s="195"/>
      <c r="R13" s="195"/>
    </row>
    <row r="14" spans="1:18" ht="12.75">
      <c r="A14" s="46" t="s">
        <v>16</v>
      </c>
      <c r="B14" s="12" t="s">
        <v>558</v>
      </c>
      <c r="C14" s="13" t="s">
        <v>66</v>
      </c>
      <c r="D14" s="13" t="s">
        <v>67</v>
      </c>
      <c r="E14" s="13" t="s">
        <v>275</v>
      </c>
      <c r="F14" s="13"/>
      <c r="G14" s="14">
        <f t="shared" si="2"/>
        <v>3803.4</v>
      </c>
      <c r="H14" s="87">
        <f t="shared" si="2"/>
        <v>3681.8</v>
      </c>
      <c r="I14" s="14">
        <f t="shared" si="0"/>
        <v>121.59999999999991</v>
      </c>
      <c r="J14" s="77">
        <f t="shared" si="1"/>
        <v>96.80286059841195</v>
      </c>
      <c r="M14" s="191"/>
      <c r="N14" s="191"/>
      <c r="O14" s="195"/>
      <c r="P14" s="195"/>
      <c r="Q14" s="195"/>
      <c r="R14" s="195"/>
    </row>
    <row r="15" spans="1:18" ht="12.75">
      <c r="A15" s="46" t="s">
        <v>273</v>
      </c>
      <c r="B15" s="12" t="s">
        <v>558</v>
      </c>
      <c r="C15" s="13" t="s">
        <v>66</v>
      </c>
      <c r="D15" s="13" t="s">
        <v>67</v>
      </c>
      <c r="E15" s="13" t="s">
        <v>276</v>
      </c>
      <c r="F15" s="13"/>
      <c r="G15" s="14">
        <f t="shared" si="2"/>
        <v>3803.4</v>
      </c>
      <c r="H15" s="87">
        <f t="shared" si="2"/>
        <v>3681.8</v>
      </c>
      <c r="I15" s="14">
        <f t="shared" si="0"/>
        <v>121.59999999999991</v>
      </c>
      <c r="J15" s="77">
        <f t="shared" si="1"/>
        <v>96.80286059841195</v>
      </c>
      <c r="M15" s="191"/>
      <c r="N15" s="191"/>
      <c r="O15" s="195"/>
      <c r="P15" s="195"/>
      <c r="Q15" s="195"/>
      <c r="R15" s="195"/>
    </row>
    <row r="16" spans="1:18" ht="45" customHeight="1">
      <c r="A16" s="46" t="s">
        <v>110</v>
      </c>
      <c r="B16" s="12" t="s">
        <v>558</v>
      </c>
      <c r="C16" s="13" t="s">
        <v>66</v>
      </c>
      <c r="D16" s="13" t="s">
        <v>67</v>
      </c>
      <c r="E16" s="13" t="s">
        <v>276</v>
      </c>
      <c r="F16" s="13" t="s">
        <v>111</v>
      </c>
      <c r="G16" s="14">
        <f t="shared" si="2"/>
        <v>3803.4</v>
      </c>
      <c r="H16" s="87">
        <f t="shared" si="2"/>
        <v>3681.8</v>
      </c>
      <c r="I16" s="14">
        <f t="shared" si="0"/>
        <v>121.59999999999991</v>
      </c>
      <c r="J16" s="77">
        <f t="shared" si="1"/>
        <v>96.80286059841195</v>
      </c>
      <c r="M16" s="191"/>
      <c r="N16" s="191"/>
      <c r="O16" s="195"/>
      <c r="P16" s="195"/>
      <c r="Q16" s="195"/>
      <c r="R16" s="195"/>
    </row>
    <row r="17" spans="1:18" ht="12.75">
      <c r="A17" s="46" t="s">
        <v>101</v>
      </c>
      <c r="B17" s="12" t="s">
        <v>558</v>
      </c>
      <c r="C17" s="13" t="s">
        <v>66</v>
      </c>
      <c r="D17" s="13" t="s">
        <v>67</v>
      </c>
      <c r="E17" s="13" t="s">
        <v>276</v>
      </c>
      <c r="F17" s="13" t="s">
        <v>102</v>
      </c>
      <c r="G17" s="14">
        <f>G18+G19</f>
        <v>3803.4</v>
      </c>
      <c r="H17" s="87">
        <f>H18+H19</f>
        <v>3681.8</v>
      </c>
      <c r="I17" s="14">
        <f t="shared" si="0"/>
        <v>121.59999999999991</v>
      </c>
      <c r="J17" s="77">
        <f t="shared" si="1"/>
        <v>96.80286059841195</v>
      </c>
      <c r="M17" s="191"/>
      <c r="N17" s="191"/>
      <c r="O17" s="195"/>
      <c r="P17" s="195"/>
      <c r="Q17" s="195"/>
      <c r="R17" s="195"/>
    </row>
    <row r="18" spans="1:18" ht="12.75">
      <c r="A18" s="46" t="s">
        <v>176</v>
      </c>
      <c r="B18" s="12" t="s">
        <v>558</v>
      </c>
      <c r="C18" s="13" t="s">
        <v>66</v>
      </c>
      <c r="D18" s="13" t="s">
        <v>67</v>
      </c>
      <c r="E18" s="13" t="s">
        <v>276</v>
      </c>
      <c r="F18" s="13" t="s">
        <v>103</v>
      </c>
      <c r="G18" s="14">
        <f>3043+155</f>
        <v>3198</v>
      </c>
      <c r="H18" s="87">
        <v>3092.8</v>
      </c>
      <c r="I18" s="14">
        <f t="shared" si="0"/>
        <v>105.19999999999982</v>
      </c>
      <c r="J18" s="77">
        <f t="shared" si="1"/>
        <v>96.71044402751721</v>
      </c>
      <c r="M18" s="191"/>
      <c r="N18" s="191"/>
      <c r="O18" s="195"/>
      <c r="P18" s="195"/>
      <c r="Q18" s="195"/>
      <c r="R18" s="195"/>
    </row>
    <row r="19" spans="1:18" ht="25.5">
      <c r="A19" s="46" t="s">
        <v>178</v>
      </c>
      <c r="B19" s="12" t="s">
        <v>558</v>
      </c>
      <c r="C19" s="13" t="s">
        <v>66</v>
      </c>
      <c r="D19" s="13" t="s">
        <v>67</v>
      </c>
      <c r="E19" s="13" t="s">
        <v>276</v>
      </c>
      <c r="F19" s="13" t="s">
        <v>177</v>
      </c>
      <c r="G19" s="14">
        <f>760.4-155</f>
        <v>605.4</v>
      </c>
      <c r="H19" s="87">
        <v>589</v>
      </c>
      <c r="I19" s="14">
        <f t="shared" si="0"/>
        <v>16.399999999999977</v>
      </c>
      <c r="J19" s="77">
        <f t="shared" si="1"/>
        <v>97.29104724149323</v>
      </c>
      <c r="M19" s="191"/>
      <c r="N19" s="191"/>
      <c r="O19" s="195"/>
      <c r="P19" s="195"/>
      <c r="Q19" s="195"/>
      <c r="R19" s="195"/>
    </row>
    <row r="20" spans="1:18" ht="38.25">
      <c r="A20" s="60" t="s">
        <v>17</v>
      </c>
      <c r="B20" s="37" t="s">
        <v>558</v>
      </c>
      <c r="C20" s="29" t="s">
        <v>66</v>
      </c>
      <c r="D20" s="29" t="s">
        <v>68</v>
      </c>
      <c r="E20" s="29"/>
      <c r="F20" s="29"/>
      <c r="G20" s="30">
        <f>G22+G31</f>
        <v>110330.40000000002</v>
      </c>
      <c r="H20" s="105">
        <f>H22+H31</f>
        <v>108530</v>
      </c>
      <c r="I20" s="30">
        <f t="shared" si="0"/>
        <v>1800.4000000000233</v>
      </c>
      <c r="J20" s="82">
        <f t="shared" si="1"/>
        <v>98.36817413876862</v>
      </c>
      <c r="M20" s="191"/>
      <c r="N20" s="191"/>
      <c r="O20" s="195"/>
      <c r="P20" s="195"/>
      <c r="Q20" s="195"/>
      <c r="R20" s="195"/>
    </row>
    <row r="21" spans="1:18" ht="12.75">
      <c r="A21" s="46" t="s">
        <v>503</v>
      </c>
      <c r="B21" s="12" t="s">
        <v>558</v>
      </c>
      <c r="C21" s="13" t="s">
        <v>66</v>
      </c>
      <c r="D21" s="13" t="s">
        <v>68</v>
      </c>
      <c r="E21" s="13" t="s">
        <v>252</v>
      </c>
      <c r="F21" s="29"/>
      <c r="G21" s="14">
        <f>G22</f>
        <v>2156.6</v>
      </c>
      <c r="H21" s="87">
        <f>H22</f>
        <v>2132.5</v>
      </c>
      <c r="I21" s="14">
        <f t="shared" si="0"/>
        <v>24.09999999999991</v>
      </c>
      <c r="J21" s="77">
        <f t="shared" si="1"/>
        <v>98.88250023184642</v>
      </c>
      <c r="M21" s="191"/>
      <c r="N21" s="191"/>
      <c r="O21" s="195"/>
      <c r="P21" s="195"/>
      <c r="Q21" s="195"/>
      <c r="R21" s="195"/>
    </row>
    <row r="22" spans="1:18" ht="12.75">
      <c r="A22" s="46" t="s">
        <v>504</v>
      </c>
      <c r="B22" s="12" t="s">
        <v>558</v>
      </c>
      <c r="C22" s="13" t="s">
        <v>66</v>
      </c>
      <c r="D22" s="13" t="s">
        <v>68</v>
      </c>
      <c r="E22" s="13" t="s">
        <v>501</v>
      </c>
      <c r="F22" s="13"/>
      <c r="G22" s="14">
        <f>G23+G27</f>
        <v>2156.6</v>
      </c>
      <c r="H22" s="87">
        <f>H23+H27</f>
        <v>2132.5</v>
      </c>
      <c r="I22" s="14">
        <f t="shared" si="0"/>
        <v>24.09999999999991</v>
      </c>
      <c r="J22" s="77">
        <f t="shared" si="1"/>
        <v>98.88250023184642</v>
      </c>
      <c r="M22" s="191"/>
      <c r="N22" s="191"/>
      <c r="O22" s="195"/>
      <c r="P22" s="195"/>
      <c r="Q22" s="195"/>
      <c r="R22" s="195"/>
    </row>
    <row r="23" spans="1:18" ht="42" customHeight="1">
      <c r="A23" s="46" t="s">
        <v>381</v>
      </c>
      <c r="B23" s="12" t="s">
        <v>558</v>
      </c>
      <c r="C23" s="13" t="s">
        <v>66</v>
      </c>
      <c r="D23" s="13" t="s">
        <v>68</v>
      </c>
      <c r="E23" s="13" t="s">
        <v>502</v>
      </c>
      <c r="F23" s="13"/>
      <c r="G23" s="14">
        <f aca="true" t="shared" si="3" ref="G23:H25">G24</f>
        <v>2101.6</v>
      </c>
      <c r="H23" s="87">
        <f t="shared" si="3"/>
        <v>2081.8</v>
      </c>
      <c r="I23" s="14">
        <f t="shared" si="0"/>
        <v>19.799999999999727</v>
      </c>
      <c r="J23" s="77">
        <f t="shared" si="1"/>
        <v>99.057860677579</v>
      </c>
      <c r="M23" s="191"/>
      <c r="N23" s="191"/>
      <c r="O23" s="195"/>
      <c r="P23" s="195"/>
      <c r="Q23" s="195"/>
      <c r="R23" s="195"/>
    </row>
    <row r="24" spans="1:18" ht="38.25">
      <c r="A24" s="46" t="s">
        <v>110</v>
      </c>
      <c r="B24" s="12" t="s">
        <v>558</v>
      </c>
      <c r="C24" s="13" t="s">
        <v>66</v>
      </c>
      <c r="D24" s="13" t="s">
        <v>68</v>
      </c>
      <c r="E24" s="13" t="s">
        <v>502</v>
      </c>
      <c r="F24" s="13" t="s">
        <v>111</v>
      </c>
      <c r="G24" s="14">
        <f t="shared" si="3"/>
        <v>2101.6</v>
      </c>
      <c r="H24" s="87">
        <f t="shared" si="3"/>
        <v>2081.8</v>
      </c>
      <c r="I24" s="14">
        <f t="shared" si="0"/>
        <v>19.799999999999727</v>
      </c>
      <c r="J24" s="77">
        <f t="shared" si="1"/>
        <v>99.057860677579</v>
      </c>
      <c r="M24" s="191"/>
      <c r="N24" s="191"/>
      <c r="O24" s="195"/>
      <c r="P24" s="195"/>
      <c r="Q24" s="195"/>
      <c r="R24" s="195"/>
    </row>
    <row r="25" spans="1:18" ht="12.75">
      <c r="A25" s="46" t="s">
        <v>101</v>
      </c>
      <c r="B25" s="12" t="s">
        <v>558</v>
      </c>
      <c r="C25" s="13" t="s">
        <v>66</v>
      </c>
      <c r="D25" s="13" t="s">
        <v>68</v>
      </c>
      <c r="E25" s="13" t="s">
        <v>502</v>
      </c>
      <c r="F25" s="13" t="s">
        <v>102</v>
      </c>
      <c r="G25" s="14">
        <f t="shared" si="3"/>
        <v>2101.6</v>
      </c>
      <c r="H25" s="87">
        <f t="shared" si="3"/>
        <v>2081.8</v>
      </c>
      <c r="I25" s="14">
        <f t="shared" si="0"/>
        <v>19.799999999999727</v>
      </c>
      <c r="J25" s="77">
        <f t="shared" si="1"/>
        <v>99.057860677579</v>
      </c>
      <c r="M25" s="191"/>
      <c r="N25" s="191"/>
      <c r="O25" s="195"/>
      <c r="P25" s="195"/>
      <c r="Q25" s="195"/>
      <c r="R25" s="195"/>
    </row>
    <row r="26" spans="1:18" ht="25.5">
      <c r="A26" s="46" t="s">
        <v>104</v>
      </c>
      <c r="B26" s="12" t="s">
        <v>558</v>
      </c>
      <c r="C26" s="13" t="s">
        <v>66</v>
      </c>
      <c r="D26" s="13" t="s">
        <v>68</v>
      </c>
      <c r="E26" s="13" t="s">
        <v>502</v>
      </c>
      <c r="F26" s="13" t="s">
        <v>105</v>
      </c>
      <c r="G26" s="14">
        <f>1800+301.6</f>
        <v>2101.6</v>
      </c>
      <c r="H26" s="87">
        <v>2081.8</v>
      </c>
      <c r="I26" s="14">
        <f t="shared" si="0"/>
        <v>19.799999999999727</v>
      </c>
      <c r="J26" s="77">
        <f t="shared" si="1"/>
        <v>99.057860677579</v>
      </c>
      <c r="M26" s="191"/>
      <c r="N26" s="191"/>
      <c r="O26" s="195"/>
      <c r="P26" s="195"/>
      <c r="Q26" s="195"/>
      <c r="R26" s="195"/>
    </row>
    <row r="27" spans="1:18" ht="12.75">
      <c r="A27" s="46" t="s">
        <v>272</v>
      </c>
      <c r="B27" s="12" t="s">
        <v>558</v>
      </c>
      <c r="C27" s="13" t="s">
        <v>66</v>
      </c>
      <c r="D27" s="13" t="s">
        <v>68</v>
      </c>
      <c r="E27" s="13" t="s">
        <v>505</v>
      </c>
      <c r="F27" s="13"/>
      <c r="G27" s="14">
        <f aca="true" t="shared" si="4" ref="G27:H29">G28</f>
        <v>55</v>
      </c>
      <c r="H27" s="87">
        <f t="shared" si="4"/>
        <v>50.7</v>
      </c>
      <c r="I27" s="14">
        <f t="shared" si="0"/>
        <v>4.299999999999997</v>
      </c>
      <c r="J27" s="77">
        <f t="shared" si="1"/>
        <v>92.18181818181819</v>
      </c>
      <c r="M27" s="191"/>
      <c r="N27" s="191"/>
      <c r="O27" s="195"/>
      <c r="P27" s="195"/>
      <c r="Q27" s="195"/>
      <c r="R27" s="195"/>
    </row>
    <row r="28" spans="1:18" ht="38.25">
      <c r="A28" s="46" t="s">
        <v>110</v>
      </c>
      <c r="B28" s="12" t="s">
        <v>558</v>
      </c>
      <c r="C28" s="13" t="s">
        <v>66</v>
      </c>
      <c r="D28" s="13" t="s">
        <v>68</v>
      </c>
      <c r="E28" s="13" t="s">
        <v>505</v>
      </c>
      <c r="F28" s="13" t="s">
        <v>111</v>
      </c>
      <c r="G28" s="14">
        <f t="shared" si="4"/>
        <v>55</v>
      </c>
      <c r="H28" s="87">
        <f t="shared" si="4"/>
        <v>50.7</v>
      </c>
      <c r="I28" s="14">
        <f t="shared" si="0"/>
        <v>4.299999999999997</v>
      </c>
      <c r="J28" s="77">
        <f t="shared" si="1"/>
        <v>92.18181818181819</v>
      </c>
      <c r="M28" s="191"/>
      <c r="N28" s="191"/>
      <c r="O28" s="195"/>
      <c r="P28" s="195"/>
      <c r="Q28" s="195"/>
      <c r="R28" s="195"/>
    </row>
    <row r="29" spans="1:18" ht="12.75">
      <c r="A29" s="46" t="s">
        <v>101</v>
      </c>
      <c r="B29" s="12" t="s">
        <v>558</v>
      </c>
      <c r="C29" s="13" t="s">
        <v>66</v>
      </c>
      <c r="D29" s="13" t="s">
        <v>68</v>
      </c>
      <c r="E29" s="13" t="s">
        <v>505</v>
      </c>
      <c r="F29" s="13" t="s">
        <v>102</v>
      </c>
      <c r="G29" s="14">
        <f t="shared" si="4"/>
        <v>55</v>
      </c>
      <c r="H29" s="87">
        <f t="shared" si="4"/>
        <v>50.7</v>
      </c>
      <c r="I29" s="14">
        <f t="shared" si="0"/>
        <v>4.299999999999997</v>
      </c>
      <c r="J29" s="77">
        <f t="shared" si="1"/>
        <v>92.18181818181819</v>
      </c>
      <c r="M29" s="191"/>
      <c r="N29" s="191"/>
      <c r="O29" s="195"/>
      <c r="P29" s="195"/>
      <c r="Q29" s="195"/>
      <c r="R29" s="195"/>
    </row>
    <row r="30" spans="1:18" ht="25.5">
      <c r="A30" s="46" t="s">
        <v>104</v>
      </c>
      <c r="B30" s="12" t="s">
        <v>558</v>
      </c>
      <c r="C30" s="13" t="s">
        <v>66</v>
      </c>
      <c r="D30" s="13" t="s">
        <v>68</v>
      </c>
      <c r="E30" s="13" t="s">
        <v>505</v>
      </c>
      <c r="F30" s="13" t="s">
        <v>105</v>
      </c>
      <c r="G30" s="14">
        <f>110-55</f>
        <v>55</v>
      </c>
      <c r="H30" s="87">
        <v>50.7</v>
      </c>
      <c r="I30" s="14">
        <f t="shared" si="0"/>
        <v>4.299999999999997</v>
      </c>
      <c r="J30" s="77">
        <f t="shared" si="1"/>
        <v>92.18181818181819</v>
      </c>
      <c r="M30" s="191"/>
      <c r="N30" s="191"/>
      <c r="O30" s="195"/>
      <c r="P30" s="195"/>
      <c r="Q30" s="195"/>
      <c r="R30" s="195"/>
    </row>
    <row r="31" spans="1:18" ht="30" customHeight="1">
      <c r="A31" s="46" t="s">
        <v>557</v>
      </c>
      <c r="B31" s="12" t="s">
        <v>558</v>
      </c>
      <c r="C31" s="13" t="s">
        <v>66</v>
      </c>
      <c r="D31" s="13" t="s">
        <v>68</v>
      </c>
      <c r="E31" s="13" t="s">
        <v>251</v>
      </c>
      <c r="F31" s="13"/>
      <c r="G31" s="14">
        <f>G32</f>
        <v>108173.80000000002</v>
      </c>
      <c r="H31" s="87">
        <f>H32</f>
        <v>106397.5</v>
      </c>
      <c r="I31" s="14">
        <f t="shared" si="0"/>
        <v>1776.3000000000175</v>
      </c>
      <c r="J31" s="77">
        <f t="shared" si="1"/>
        <v>98.35792030972378</v>
      </c>
      <c r="M31" s="191"/>
      <c r="N31" s="191"/>
      <c r="O31" s="195"/>
      <c r="P31" s="195"/>
      <c r="Q31" s="195"/>
      <c r="R31" s="195"/>
    </row>
    <row r="32" spans="1:18" ht="12.75">
      <c r="A32" s="46" t="s">
        <v>50</v>
      </c>
      <c r="B32" s="12" t="s">
        <v>558</v>
      </c>
      <c r="C32" s="13" t="s">
        <v>66</v>
      </c>
      <c r="D32" s="13" t="s">
        <v>68</v>
      </c>
      <c r="E32" s="13" t="s">
        <v>277</v>
      </c>
      <c r="F32" s="13"/>
      <c r="G32" s="14">
        <f>G33+G39</f>
        <v>108173.80000000002</v>
      </c>
      <c r="H32" s="87">
        <f>H33+H39</f>
        <v>106397.5</v>
      </c>
      <c r="I32" s="14">
        <f t="shared" si="0"/>
        <v>1776.3000000000175</v>
      </c>
      <c r="J32" s="77">
        <f t="shared" si="1"/>
        <v>98.35792030972378</v>
      </c>
      <c r="M32" s="191"/>
      <c r="N32" s="191"/>
      <c r="O32" s="195"/>
      <c r="P32" s="195"/>
      <c r="Q32" s="195"/>
      <c r="R32" s="195"/>
    </row>
    <row r="33" spans="1:18" ht="12.75">
      <c r="A33" s="46" t="s">
        <v>273</v>
      </c>
      <c r="B33" s="12" t="s">
        <v>558</v>
      </c>
      <c r="C33" s="13" t="s">
        <v>66</v>
      </c>
      <c r="D33" s="13" t="s">
        <v>68</v>
      </c>
      <c r="E33" s="13" t="s">
        <v>278</v>
      </c>
      <c r="F33" s="13"/>
      <c r="G33" s="14">
        <f>G34</f>
        <v>93999.70000000001</v>
      </c>
      <c r="H33" s="87">
        <f>H34</f>
        <v>93355.1</v>
      </c>
      <c r="I33" s="14">
        <f t="shared" si="0"/>
        <v>644.6000000000058</v>
      </c>
      <c r="J33" s="77">
        <f t="shared" si="1"/>
        <v>99.31425313059509</v>
      </c>
      <c r="M33" s="191"/>
      <c r="N33" s="191"/>
      <c r="O33" s="195"/>
      <c r="P33" s="195"/>
      <c r="Q33" s="195"/>
      <c r="R33" s="195"/>
    </row>
    <row r="34" spans="1:18" ht="38.25">
      <c r="A34" s="46" t="s">
        <v>110</v>
      </c>
      <c r="B34" s="12" t="s">
        <v>558</v>
      </c>
      <c r="C34" s="13" t="s">
        <v>66</v>
      </c>
      <c r="D34" s="13" t="s">
        <v>68</v>
      </c>
      <c r="E34" s="13" t="s">
        <v>278</v>
      </c>
      <c r="F34" s="13" t="s">
        <v>111</v>
      </c>
      <c r="G34" s="14">
        <f>G35</f>
        <v>93999.70000000001</v>
      </c>
      <c r="H34" s="87">
        <f>H35</f>
        <v>93355.1</v>
      </c>
      <c r="I34" s="14">
        <f t="shared" si="0"/>
        <v>644.6000000000058</v>
      </c>
      <c r="J34" s="77">
        <f t="shared" si="1"/>
        <v>99.31425313059509</v>
      </c>
      <c r="M34" s="191"/>
      <c r="N34" s="191"/>
      <c r="O34" s="195"/>
      <c r="P34" s="195"/>
      <c r="Q34" s="195"/>
      <c r="R34" s="195"/>
    </row>
    <row r="35" spans="1:18" ht="12.75">
      <c r="A35" s="46" t="s">
        <v>101</v>
      </c>
      <c r="B35" s="12" t="s">
        <v>558</v>
      </c>
      <c r="C35" s="13" t="s">
        <v>66</v>
      </c>
      <c r="D35" s="13" t="s">
        <v>68</v>
      </c>
      <c r="E35" s="13" t="s">
        <v>278</v>
      </c>
      <c r="F35" s="13" t="s">
        <v>102</v>
      </c>
      <c r="G35" s="14">
        <f>G36+G37+G38</f>
        <v>93999.70000000001</v>
      </c>
      <c r="H35" s="87">
        <f>H36+H37+H38</f>
        <v>93355.1</v>
      </c>
      <c r="I35" s="14">
        <f t="shared" si="0"/>
        <v>644.6000000000058</v>
      </c>
      <c r="J35" s="77">
        <f t="shared" si="1"/>
        <v>99.31425313059509</v>
      </c>
      <c r="M35" s="191"/>
      <c r="N35" s="191"/>
      <c r="O35" s="195"/>
      <c r="P35" s="195"/>
      <c r="Q35" s="195"/>
      <c r="R35" s="195"/>
    </row>
    <row r="36" spans="1:18" ht="12.75">
      <c r="A36" s="46" t="s">
        <v>176</v>
      </c>
      <c r="B36" s="12" t="s">
        <v>558</v>
      </c>
      <c r="C36" s="13" t="s">
        <v>66</v>
      </c>
      <c r="D36" s="13" t="s">
        <v>68</v>
      </c>
      <c r="E36" s="13" t="s">
        <v>278</v>
      </c>
      <c r="F36" s="13" t="s">
        <v>103</v>
      </c>
      <c r="G36" s="14">
        <f>61073.8+7212.3+2350</f>
        <v>70636.1</v>
      </c>
      <c r="H36" s="87">
        <v>70315.3</v>
      </c>
      <c r="I36" s="14">
        <f t="shared" si="0"/>
        <v>320.8000000000029</v>
      </c>
      <c r="J36" s="77">
        <f t="shared" si="1"/>
        <v>99.54584129078474</v>
      </c>
      <c r="M36" s="191"/>
      <c r="N36" s="191"/>
      <c r="O36" s="195"/>
      <c r="P36" s="195"/>
      <c r="Q36" s="195"/>
      <c r="R36" s="195"/>
    </row>
    <row r="37" spans="1:18" ht="25.5">
      <c r="A37" s="46" t="s">
        <v>104</v>
      </c>
      <c r="B37" s="12" t="s">
        <v>558</v>
      </c>
      <c r="C37" s="13" t="s">
        <v>66</v>
      </c>
      <c r="D37" s="13" t="s">
        <v>68</v>
      </c>
      <c r="E37" s="13" t="s">
        <v>278</v>
      </c>
      <c r="F37" s="13" t="s">
        <v>105</v>
      </c>
      <c r="G37" s="14">
        <f>200+295+70-38.5</f>
        <v>526.5</v>
      </c>
      <c r="H37" s="87">
        <v>455.2</v>
      </c>
      <c r="I37" s="14">
        <f t="shared" si="0"/>
        <v>71.30000000000001</v>
      </c>
      <c r="J37" s="77">
        <f t="shared" si="1"/>
        <v>86.45773979107312</v>
      </c>
      <c r="M37" s="191"/>
      <c r="N37" s="191"/>
      <c r="O37" s="195"/>
      <c r="P37" s="195"/>
      <c r="Q37" s="195"/>
      <c r="R37" s="195"/>
    </row>
    <row r="38" spans="1:18" ht="25.5">
      <c r="A38" s="46" t="s">
        <v>178</v>
      </c>
      <c r="B38" s="12" t="s">
        <v>558</v>
      </c>
      <c r="C38" s="13" t="s">
        <v>66</v>
      </c>
      <c r="D38" s="13" t="s">
        <v>68</v>
      </c>
      <c r="E38" s="13" t="s">
        <v>278</v>
      </c>
      <c r="F38" s="13" t="s">
        <v>177</v>
      </c>
      <c r="G38" s="14">
        <f>15800.1+2045.5+2261.7+2729.8</f>
        <v>22837.1</v>
      </c>
      <c r="H38" s="87">
        <v>22584.6</v>
      </c>
      <c r="I38" s="14">
        <f t="shared" si="0"/>
        <v>252.5</v>
      </c>
      <c r="J38" s="77">
        <f t="shared" si="1"/>
        <v>98.89434297699795</v>
      </c>
      <c r="M38" s="191"/>
      <c r="N38" s="191"/>
      <c r="O38" s="195"/>
      <c r="P38" s="195"/>
      <c r="Q38" s="195"/>
      <c r="R38" s="195"/>
    </row>
    <row r="39" spans="1:18" ht="12.75">
      <c r="A39" s="46" t="s">
        <v>274</v>
      </c>
      <c r="B39" s="12" t="s">
        <v>558</v>
      </c>
      <c r="C39" s="13" t="s">
        <v>66</v>
      </c>
      <c r="D39" s="13" t="s">
        <v>68</v>
      </c>
      <c r="E39" s="13" t="s">
        <v>279</v>
      </c>
      <c r="F39" s="13"/>
      <c r="G39" s="14">
        <f>G40+G43</f>
        <v>14174.1</v>
      </c>
      <c r="H39" s="87">
        <f>H40+H43</f>
        <v>13042.4</v>
      </c>
      <c r="I39" s="14">
        <f t="shared" si="0"/>
        <v>1131.7000000000007</v>
      </c>
      <c r="J39" s="77">
        <f t="shared" si="1"/>
        <v>92.01571881107088</v>
      </c>
      <c r="M39" s="191"/>
      <c r="N39" s="191"/>
      <c r="O39" s="195"/>
      <c r="P39" s="195"/>
      <c r="Q39" s="195"/>
      <c r="R39" s="195"/>
    </row>
    <row r="40" spans="1:18" ht="25.5">
      <c r="A40" s="46" t="s">
        <v>770</v>
      </c>
      <c r="B40" s="12" t="s">
        <v>558</v>
      </c>
      <c r="C40" s="13" t="s">
        <v>66</v>
      </c>
      <c r="D40" s="13" t="s">
        <v>68</v>
      </c>
      <c r="E40" s="13" t="s">
        <v>279</v>
      </c>
      <c r="F40" s="13" t="s">
        <v>113</v>
      </c>
      <c r="G40" s="14">
        <f>G41</f>
        <v>12179.5</v>
      </c>
      <c r="H40" s="87">
        <f>H41</f>
        <v>11135.3</v>
      </c>
      <c r="I40" s="14">
        <f t="shared" si="0"/>
        <v>1044.2000000000007</v>
      </c>
      <c r="J40" s="77">
        <f t="shared" si="1"/>
        <v>91.42657744570795</v>
      </c>
      <c r="M40" s="191"/>
      <c r="N40" s="191"/>
      <c r="O40" s="195"/>
      <c r="P40" s="195"/>
      <c r="Q40" s="195"/>
      <c r="R40" s="195"/>
    </row>
    <row r="41" spans="1:18" ht="25.5">
      <c r="A41" s="46" t="s">
        <v>106</v>
      </c>
      <c r="B41" s="12" t="s">
        <v>558</v>
      </c>
      <c r="C41" s="13" t="s">
        <v>66</v>
      </c>
      <c r="D41" s="13" t="s">
        <v>68</v>
      </c>
      <c r="E41" s="13" t="s">
        <v>279</v>
      </c>
      <c r="F41" s="13" t="s">
        <v>107</v>
      </c>
      <c r="G41" s="14">
        <f>G42</f>
        <v>12179.5</v>
      </c>
      <c r="H41" s="87">
        <f>H42</f>
        <v>11135.3</v>
      </c>
      <c r="I41" s="14">
        <f t="shared" si="0"/>
        <v>1044.2000000000007</v>
      </c>
      <c r="J41" s="77">
        <f t="shared" si="1"/>
        <v>91.42657744570795</v>
      </c>
      <c r="M41" s="191"/>
      <c r="N41" s="191"/>
      <c r="O41" s="195"/>
      <c r="P41" s="195"/>
      <c r="Q41" s="195"/>
      <c r="R41" s="195"/>
    </row>
    <row r="42" spans="1:18" ht="25.5">
      <c r="A42" s="46" t="s">
        <v>108</v>
      </c>
      <c r="B42" s="12" t="s">
        <v>558</v>
      </c>
      <c r="C42" s="13" t="s">
        <v>66</v>
      </c>
      <c r="D42" s="13" t="s">
        <v>68</v>
      </c>
      <c r="E42" s="13" t="s">
        <v>279</v>
      </c>
      <c r="F42" s="13" t="s">
        <v>109</v>
      </c>
      <c r="G42" s="14">
        <f>1740+3555.8+115+1316+150+1100+2419.4+1783.3</f>
        <v>12179.5</v>
      </c>
      <c r="H42" s="87">
        <v>11135.3</v>
      </c>
      <c r="I42" s="14">
        <f t="shared" si="0"/>
        <v>1044.2000000000007</v>
      </c>
      <c r="J42" s="77">
        <f t="shared" si="1"/>
        <v>91.42657744570795</v>
      </c>
      <c r="M42" s="191"/>
      <c r="N42" s="191"/>
      <c r="O42" s="195"/>
      <c r="P42" s="195"/>
      <c r="Q42" s="195"/>
      <c r="R42" s="195"/>
    </row>
    <row r="43" spans="1:18" ht="12.75">
      <c r="A43" s="46" t="s">
        <v>137</v>
      </c>
      <c r="B43" s="12" t="s">
        <v>558</v>
      </c>
      <c r="C43" s="13" t="s">
        <v>66</v>
      </c>
      <c r="D43" s="13" t="s">
        <v>68</v>
      </c>
      <c r="E43" s="13" t="s">
        <v>279</v>
      </c>
      <c r="F43" s="13" t="s">
        <v>138</v>
      </c>
      <c r="G43" s="14">
        <f>G44</f>
        <v>1994.6000000000004</v>
      </c>
      <c r="H43" s="87">
        <f>H44</f>
        <v>1907.1</v>
      </c>
      <c r="I43" s="14">
        <f t="shared" si="0"/>
        <v>87.50000000000045</v>
      </c>
      <c r="J43" s="77">
        <f t="shared" si="1"/>
        <v>95.61315551990371</v>
      </c>
      <c r="M43" s="191"/>
      <c r="N43" s="191"/>
      <c r="O43" s="195"/>
      <c r="P43" s="195"/>
      <c r="Q43" s="195"/>
      <c r="R43" s="195"/>
    </row>
    <row r="44" spans="1:18" ht="12.75">
      <c r="A44" s="46" t="s">
        <v>140</v>
      </c>
      <c r="B44" s="12" t="s">
        <v>558</v>
      </c>
      <c r="C44" s="13" t="s">
        <v>66</v>
      </c>
      <c r="D44" s="13" t="s">
        <v>68</v>
      </c>
      <c r="E44" s="13" t="s">
        <v>279</v>
      </c>
      <c r="F44" s="13" t="s">
        <v>141</v>
      </c>
      <c r="G44" s="14">
        <f>G45+G46+G47</f>
        <v>1994.6000000000004</v>
      </c>
      <c r="H44" s="87">
        <f>H45+H46+H47</f>
        <v>1907.1</v>
      </c>
      <c r="I44" s="14">
        <f t="shared" si="0"/>
        <v>87.50000000000045</v>
      </c>
      <c r="J44" s="77">
        <f t="shared" si="1"/>
        <v>95.61315551990371</v>
      </c>
      <c r="M44" s="191"/>
      <c r="N44" s="191"/>
      <c r="O44" s="195"/>
      <c r="P44" s="195"/>
      <c r="Q44" s="195"/>
      <c r="R44" s="195"/>
    </row>
    <row r="45" spans="1:18" ht="12.75">
      <c r="A45" s="46" t="s">
        <v>142</v>
      </c>
      <c r="B45" s="12" t="s">
        <v>558</v>
      </c>
      <c r="C45" s="13" t="s">
        <v>66</v>
      </c>
      <c r="D45" s="13" t="s">
        <v>68</v>
      </c>
      <c r="E45" s="13" t="s">
        <v>279</v>
      </c>
      <c r="F45" s="13" t="s">
        <v>143</v>
      </c>
      <c r="G45" s="14">
        <f>210+6.4</f>
        <v>216.4</v>
      </c>
      <c r="H45" s="87">
        <v>135.7</v>
      </c>
      <c r="I45" s="14">
        <f t="shared" si="0"/>
        <v>80.70000000000002</v>
      </c>
      <c r="J45" s="77">
        <f t="shared" si="1"/>
        <v>62.7079482439926</v>
      </c>
      <c r="M45" s="191"/>
      <c r="N45" s="191"/>
      <c r="O45" s="195"/>
      <c r="P45" s="195"/>
      <c r="Q45" s="195"/>
      <c r="R45" s="195"/>
    </row>
    <row r="46" spans="1:18" ht="12.75">
      <c r="A46" s="46" t="s">
        <v>179</v>
      </c>
      <c r="B46" s="12" t="s">
        <v>558</v>
      </c>
      <c r="C46" s="13" t="s">
        <v>66</v>
      </c>
      <c r="D46" s="13" t="s">
        <v>68</v>
      </c>
      <c r="E46" s="13" t="s">
        <v>279</v>
      </c>
      <c r="F46" s="13" t="s">
        <v>144</v>
      </c>
      <c r="G46" s="14">
        <f>65+27-45+27.5</f>
        <v>74.5</v>
      </c>
      <c r="H46" s="87">
        <v>73.4</v>
      </c>
      <c r="I46" s="14">
        <f t="shared" si="0"/>
        <v>1.0999999999999943</v>
      </c>
      <c r="J46" s="77">
        <f t="shared" si="1"/>
        <v>98.52348993288591</v>
      </c>
      <c r="M46" s="191"/>
      <c r="N46" s="191"/>
      <c r="O46" s="195"/>
      <c r="P46" s="195"/>
      <c r="Q46" s="195"/>
      <c r="R46" s="195"/>
    </row>
    <row r="47" spans="1:18" ht="12.75">
      <c r="A47" s="46" t="s">
        <v>180</v>
      </c>
      <c r="B47" s="12" t="s">
        <v>558</v>
      </c>
      <c r="C47" s="13" t="s">
        <v>66</v>
      </c>
      <c r="D47" s="13" t="s">
        <v>68</v>
      </c>
      <c r="E47" s="13" t="s">
        <v>279</v>
      </c>
      <c r="F47" s="13" t="s">
        <v>181</v>
      </c>
      <c r="G47" s="14">
        <f>5+949.2+226.2+140.4+382.9</f>
        <v>1703.7000000000003</v>
      </c>
      <c r="H47" s="87">
        <v>1698</v>
      </c>
      <c r="I47" s="14">
        <f t="shared" si="0"/>
        <v>5.700000000000273</v>
      </c>
      <c r="J47" s="77">
        <f t="shared" si="1"/>
        <v>99.66543405529141</v>
      </c>
      <c r="M47" s="191"/>
      <c r="N47" s="191"/>
      <c r="O47" s="195"/>
      <c r="P47" s="195"/>
      <c r="Q47" s="195"/>
      <c r="R47" s="195"/>
    </row>
    <row r="48" spans="1:18" ht="12.75">
      <c r="A48" s="60" t="s">
        <v>63</v>
      </c>
      <c r="B48" s="37" t="s">
        <v>558</v>
      </c>
      <c r="C48" s="29" t="s">
        <v>66</v>
      </c>
      <c r="D48" s="29" t="s">
        <v>89</v>
      </c>
      <c r="E48" s="29"/>
      <c r="F48" s="29"/>
      <c r="G48" s="30">
        <f>G49+G66+G81+G101+G107+G87</f>
        <v>5206.2</v>
      </c>
      <c r="H48" s="105">
        <f>H49+H66+H81+H101+H107+H87</f>
        <v>4169.4</v>
      </c>
      <c r="I48" s="30">
        <f t="shared" si="0"/>
        <v>1036.8000000000002</v>
      </c>
      <c r="J48" s="82">
        <f t="shared" si="1"/>
        <v>80.0852829318889</v>
      </c>
      <c r="M48" s="191"/>
      <c r="N48" s="191"/>
      <c r="O48" s="195"/>
      <c r="P48" s="195"/>
      <c r="Q48" s="195"/>
      <c r="R48" s="195"/>
    </row>
    <row r="49" spans="1:18" ht="27.75" customHeight="1">
      <c r="A49" s="46" t="s">
        <v>380</v>
      </c>
      <c r="B49" s="12" t="s">
        <v>558</v>
      </c>
      <c r="C49" s="13" t="s">
        <v>66</v>
      </c>
      <c r="D49" s="13" t="s">
        <v>89</v>
      </c>
      <c r="E49" s="13" t="s">
        <v>306</v>
      </c>
      <c r="F49" s="13"/>
      <c r="G49" s="14">
        <f>G50+G56</f>
        <v>2213.2999999999997</v>
      </c>
      <c r="H49" s="87">
        <f>H50+H56</f>
        <v>2094.8999999999996</v>
      </c>
      <c r="I49" s="14">
        <f t="shared" si="0"/>
        <v>118.40000000000009</v>
      </c>
      <c r="J49" s="77">
        <f t="shared" si="1"/>
        <v>94.65052184520852</v>
      </c>
      <c r="M49" s="191"/>
      <c r="N49" s="191"/>
      <c r="O49" s="195"/>
      <c r="P49" s="195"/>
      <c r="Q49" s="195"/>
      <c r="R49" s="195"/>
    </row>
    <row r="50" spans="1:18" ht="27.75" customHeight="1">
      <c r="A50" s="46" t="s">
        <v>349</v>
      </c>
      <c r="B50" s="12" t="s">
        <v>558</v>
      </c>
      <c r="C50" s="13" t="s">
        <v>66</v>
      </c>
      <c r="D50" s="13" t="s">
        <v>89</v>
      </c>
      <c r="E50" s="13" t="s">
        <v>350</v>
      </c>
      <c r="F50" s="13"/>
      <c r="G50" s="14">
        <f aca="true" t="shared" si="5" ref="G50:H52">G51</f>
        <v>1171.6</v>
      </c>
      <c r="H50" s="87">
        <f t="shared" si="5"/>
        <v>1171.6</v>
      </c>
      <c r="I50" s="14">
        <f t="shared" si="0"/>
        <v>0</v>
      </c>
      <c r="J50" s="77">
        <f t="shared" si="1"/>
        <v>100</v>
      </c>
      <c r="M50" s="191"/>
      <c r="N50" s="191"/>
      <c r="O50" s="195"/>
      <c r="P50" s="195"/>
      <c r="Q50" s="195"/>
      <c r="R50" s="195"/>
    </row>
    <row r="51" spans="1:18" ht="51" customHeight="1">
      <c r="A51" s="46" t="s">
        <v>307</v>
      </c>
      <c r="B51" s="12" t="s">
        <v>558</v>
      </c>
      <c r="C51" s="13" t="s">
        <v>66</v>
      </c>
      <c r="D51" s="13" t="s">
        <v>89</v>
      </c>
      <c r="E51" s="13" t="s">
        <v>308</v>
      </c>
      <c r="F51" s="13"/>
      <c r="G51" s="14">
        <f t="shared" si="5"/>
        <v>1171.6</v>
      </c>
      <c r="H51" s="87">
        <f t="shared" si="5"/>
        <v>1171.6</v>
      </c>
      <c r="I51" s="14">
        <f t="shared" si="0"/>
        <v>0</v>
      </c>
      <c r="J51" s="77">
        <f t="shared" si="1"/>
        <v>100</v>
      </c>
      <c r="M51" s="191"/>
      <c r="N51" s="191"/>
      <c r="O51" s="195"/>
      <c r="P51" s="195"/>
      <c r="Q51" s="195"/>
      <c r="R51" s="195"/>
    </row>
    <row r="52" spans="1:16" ht="39.75" customHeight="1">
      <c r="A52" s="46" t="s">
        <v>110</v>
      </c>
      <c r="B52" s="12" t="s">
        <v>558</v>
      </c>
      <c r="C52" s="13" t="s">
        <v>66</v>
      </c>
      <c r="D52" s="13" t="s">
        <v>89</v>
      </c>
      <c r="E52" s="13" t="s">
        <v>308</v>
      </c>
      <c r="F52" s="13" t="s">
        <v>111</v>
      </c>
      <c r="G52" s="14">
        <f t="shared" si="5"/>
        <v>1171.6</v>
      </c>
      <c r="H52" s="87">
        <f t="shared" si="5"/>
        <v>1171.6</v>
      </c>
      <c r="I52" s="14">
        <f t="shared" si="0"/>
        <v>0</v>
      </c>
      <c r="J52" s="77">
        <f t="shared" si="1"/>
        <v>100</v>
      </c>
      <c r="P52" s="194"/>
    </row>
    <row r="53" spans="1:10" ht="12.75">
      <c r="A53" s="46" t="s">
        <v>101</v>
      </c>
      <c r="B53" s="12" t="s">
        <v>558</v>
      </c>
      <c r="C53" s="13" t="s">
        <v>66</v>
      </c>
      <c r="D53" s="13" t="s">
        <v>89</v>
      </c>
      <c r="E53" s="13" t="s">
        <v>308</v>
      </c>
      <c r="F53" s="13" t="s">
        <v>102</v>
      </c>
      <c r="G53" s="14">
        <f>G54+G55</f>
        <v>1171.6</v>
      </c>
      <c r="H53" s="87">
        <f>H54+H55</f>
        <v>1171.6</v>
      </c>
      <c r="I53" s="14">
        <f t="shared" si="0"/>
        <v>0</v>
      </c>
      <c r="J53" s="77">
        <f t="shared" si="1"/>
        <v>100</v>
      </c>
    </row>
    <row r="54" spans="1:10" ht="12.75">
      <c r="A54" s="46" t="s">
        <v>176</v>
      </c>
      <c r="B54" s="12" t="s">
        <v>558</v>
      </c>
      <c r="C54" s="13" t="s">
        <v>66</v>
      </c>
      <c r="D54" s="13" t="s">
        <v>89</v>
      </c>
      <c r="E54" s="13" t="s">
        <v>308</v>
      </c>
      <c r="F54" s="13" t="s">
        <v>103</v>
      </c>
      <c r="G54" s="14">
        <v>925</v>
      </c>
      <c r="H54" s="87">
        <v>925</v>
      </c>
      <c r="I54" s="14">
        <f t="shared" si="0"/>
        <v>0</v>
      </c>
      <c r="J54" s="77">
        <f t="shared" si="1"/>
        <v>100</v>
      </c>
    </row>
    <row r="55" spans="1:10" ht="25.5">
      <c r="A55" s="46" t="s">
        <v>178</v>
      </c>
      <c r="B55" s="12" t="s">
        <v>558</v>
      </c>
      <c r="C55" s="13" t="s">
        <v>66</v>
      </c>
      <c r="D55" s="13" t="s">
        <v>89</v>
      </c>
      <c r="E55" s="13" t="s">
        <v>308</v>
      </c>
      <c r="F55" s="13" t="s">
        <v>177</v>
      </c>
      <c r="G55" s="14">
        <v>246.6</v>
      </c>
      <c r="H55" s="87">
        <v>246.6</v>
      </c>
      <c r="I55" s="14">
        <f t="shared" si="0"/>
        <v>0</v>
      </c>
      <c r="J55" s="77">
        <f t="shared" si="1"/>
        <v>100</v>
      </c>
    </row>
    <row r="56" spans="1:10" ht="25.5">
      <c r="A56" s="46" t="s">
        <v>351</v>
      </c>
      <c r="B56" s="12" t="s">
        <v>558</v>
      </c>
      <c r="C56" s="13" t="s">
        <v>66</v>
      </c>
      <c r="D56" s="13" t="s">
        <v>89</v>
      </c>
      <c r="E56" s="13" t="s">
        <v>352</v>
      </c>
      <c r="F56" s="13"/>
      <c r="G56" s="14">
        <f>G57</f>
        <v>1041.6999999999998</v>
      </c>
      <c r="H56" s="87">
        <f>H57</f>
        <v>923.3</v>
      </c>
      <c r="I56" s="14">
        <f t="shared" si="0"/>
        <v>118.39999999999986</v>
      </c>
      <c r="J56" s="77">
        <f t="shared" si="1"/>
        <v>88.6339637131612</v>
      </c>
    </row>
    <row r="57" spans="1:10" ht="25.5">
      <c r="A57" s="46" t="s">
        <v>392</v>
      </c>
      <c r="B57" s="12" t="s">
        <v>558</v>
      </c>
      <c r="C57" s="13" t="s">
        <v>66</v>
      </c>
      <c r="D57" s="13" t="s">
        <v>89</v>
      </c>
      <c r="E57" s="13" t="s">
        <v>315</v>
      </c>
      <c r="F57" s="13"/>
      <c r="G57" s="14">
        <f>G58+G63</f>
        <v>1041.6999999999998</v>
      </c>
      <c r="H57" s="87">
        <f>H58+H63</f>
        <v>923.3</v>
      </c>
      <c r="I57" s="14">
        <f t="shared" si="0"/>
        <v>118.39999999999986</v>
      </c>
      <c r="J57" s="77">
        <f t="shared" si="1"/>
        <v>88.6339637131612</v>
      </c>
    </row>
    <row r="58" spans="1:10" ht="38.25">
      <c r="A58" s="46" t="s">
        <v>110</v>
      </c>
      <c r="B58" s="12" t="s">
        <v>558</v>
      </c>
      <c r="C58" s="13" t="s">
        <v>66</v>
      </c>
      <c r="D58" s="13" t="s">
        <v>89</v>
      </c>
      <c r="E58" s="13" t="s">
        <v>315</v>
      </c>
      <c r="F58" s="13" t="s">
        <v>111</v>
      </c>
      <c r="G58" s="14">
        <f>G59</f>
        <v>861.3</v>
      </c>
      <c r="H58" s="87">
        <f>H59</f>
        <v>861.3</v>
      </c>
      <c r="I58" s="14">
        <f t="shared" si="0"/>
        <v>0</v>
      </c>
      <c r="J58" s="77">
        <f t="shared" si="1"/>
        <v>100</v>
      </c>
    </row>
    <row r="59" spans="1:10" ht="12.75">
      <c r="A59" s="46" t="s">
        <v>101</v>
      </c>
      <c r="B59" s="12" t="s">
        <v>558</v>
      </c>
      <c r="C59" s="13" t="s">
        <v>66</v>
      </c>
      <c r="D59" s="13" t="s">
        <v>89</v>
      </c>
      <c r="E59" s="13" t="s">
        <v>315</v>
      </c>
      <c r="F59" s="13" t="s">
        <v>102</v>
      </c>
      <c r="G59" s="14">
        <f>G60+G62+G61</f>
        <v>861.3</v>
      </c>
      <c r="H59" s="87">
        <f>H60+H62+H61</f>
        <v>861.3</v>
      </c>
      <c r="I59" s="14">
        <f t="shared" si="0"/>
        <v>0</v>
      </c>
      <c r="J59" s="77">
        <f t="shared" si="1"/>
        <v>100</v>
      </c>
    </row>
    <row r="60" spans="1:10" ht="12.75">
      <c r="A60" s="46" t="s">
        <v>176</v>
      </c>
      <c r="B60" s="12" t="s">
        <v>558</v>
      </c>
      <c r="C60" s="13" t="s">
        <v>66</v>
      </c>
      <c r="D60" s="13" t="s">
        <v>89</v>
      </c>
      <c r="E60" s="13" t="s">
        <v>315</v>
      </c>
      <c r="F60" s="13" t="s">
        <v>103</v>
      </c>
      <c r="G60" s="14">
        <f>742-112.7</f>
        <v>629.3</v>
      </c>
      <c r="H60" s="87">
        <v>629.3</v>
      </c>
      <c r="I60" s="14">
        <f t="shared" si="0"/>
        <v>0</v>
      </c>
      <c r="J60" s="77">
        <f t="shared" si="1"/>
        <v>100</v>
      </c>
    </row>
    <row r="61" spans="1:10" ht="25.5">
      <c r="A61" s="46" t="s">
        <v>104</v>
      </c>
      <c r="B61" s="12" t="s">
        <v>558</v>
      </c>
      <c r="C61" s="13" t="s">
        <v>66</v>
      </c>
      <c r="D61" s="13" t="s">
        <v>89</v>
      </c>
      <c r="E61" s="13" t="s">
        <v>315</v>
      </c>
      <c r="F61" s="13" t="s">
        <v>105</v>
      </c>
      <c r="G61" s="14">
        <f>35+26-19</f>
        <v>42</v>
      </c>
      <c r="H61" s="87">
        <v>42</v>
      </c>
      <c r="I61" s="14">
        <f t="shared" si="0"/>
        <v>0</v>
      </c>
      <c r="J61" s="77">
        <f t="shared" si="1"/>
        <v>100</v>
      </c>
    </row>
    <row r="62" spans="1:10" ht="25.5">
      <c r="A62" s="46" t="s">
        <v>178</v>
      </c>
      <c r="B62" s="12" t="s">
        <v>558</v>
      </c>
      <c r="C62" s="13" t="s">
        <v>66</v>
      </c>
      <c r="D62" s="13" t="s">
        <v>89</v>
      </c>
      <c r="E62" s="13" t="s">
        <v>315</v>
      </c>
      <c r="F62" s="13" t="s">
        <v>177</v>
      </c>
      <c r="G62" s="14">
        <f>230-40</f>
        <v>190</v>
      </c>
      <c r="H62" s="87">
        <v>190</v>
      </c>
      <c r="I62" s="14">
        <f t="shared" si="0"/>
        <v>0</v>
      </c>
      <c r="J62" s="77">
        <f t="shared" si="1"/>
        <v>100</v>
      </c>
    </row>
    <row r="63" spans="1:10" ht="25.5">
      <c r="A63" s="46" t="s">
        <v>770</v>
      </c>
      <c r="B63" s="12" t="s">
        <v>558</v>
      </c>
      <c r="C63" s="13" t="s">
        <v>66</v>
      </c>
      <c r="D63" s="13" t="s">
        <v>89</v>
      </c>
      <c r="E63" s="13" t="s">
        <v>315</v>
      </c>
      <c r="F63" s="13" t="s">
        <v>113</v>
      </c>
      <c r="G63" s="14">
        <f>G64</f>
        <v>180.39999999999998</v>
      </c>
      <c r="H63" s="87">
        <f>H64</f>
        <v>62</v>
      </c>
      <c r="I63" s="14">
        <f t="shared" si="0"/>
        <v>118.39999999999998</v>
      </c>
      <c r="J63" s="77">
        <f t="shared" si="1"/>
        <v>34.36807095343681</v>
      </c>
    </row>
    <row r="64" spans="1:10" ht="25.5">
      <c r="A64" s="46" t="s">
        <v>106</v>
      </c>
      <c r="B64" s="12" t="s">
        <v>558</v>
      </c>
      <c r="C64" s="13" t="s">
        <v>66</v>
      </c>
      <c r="D64" s="13" t="s">
        <v>89</v>
      </c>
      <c r="E64" s="13" t="s">
        <v>315</v>
      </c>
      <c r="F64" s="13" t="s">
        <v>107</v>
      </c>
      <c r="G64" s="14">
        <f>G65</f>
        <v>180.39999999999998</v>
      </c>
      <c r="H64" s="87">
        <f>H65</f>
        <v>62</v>
      </c>
      <c r="I64" s="14">
        <f t="shared" si="0"/>
        <v>118.39999999999998</v>
      </c>
      <c r="J64" s="77">
        <f t="shared" si="1"/>
        <v>34.36807095343681</v>
      </c>
    </row>
    <row r="65" spans="1:10" ht="25.5">
      <c r="A65" s="46" t="s">
        <v>108</v>
      </c>
      <c r="B65" s="12" t="s">
        <v>558</v>
      </c>
      <c r="C65" s="13" t="s">
        <v>66</v>
      </c>
      <c r="D65" s="13" t="s">
        <v>89</v>
      </c>
      <c r="E65" s="13" t="s">
        <v>315</v>
      </c>
      <c r="F65" s="13" t="s">
        <v>109</v>
      </c>
      <c r="G65" s="14">
        <f>87+403.7-26-284.3</f>
        <v>180.39999999999998</v>
      </c>
      <c r="H65" s="87">
        <v>62</v>
      </c>
      <c r="I65" s="14">
        <f t="shared" si="0"/>
        <v>118.39999999999998</v>
      </c>
      <c r="J65" s="77">
        <f t="shared" si="1"/>
        <v>34.36807095343681</v>
      </c>
    </row>
    <row r="66" spans="1:10" ht="12.75">
      <c r="A66" s="9" t="s">
        <v>666</v>
      </c>
      <c r="B66" s="12" t="s">
        <v>558</v>
      </c>
      <c r="C66" s="13" t="s">
        <v>66</v>
      </c>
      <c r="D66" s="13" t="s">
        <v>89</v>
      </c>
      <c r="E66" s="13" t="s">
        <v>668</v>
      </c>
      <c r="F66" s="13"/>
      <c r="G66" s="14">
        <f>G67</f>
        <v>1317.5</v>
      </c>
      <c r="H66" s="87">
        <f>H67</f>
        <v>702.7</v>
      </c>
      <c r="I66" s="14">
        <f t="shared" si="0"/>
        <v>614.8</v>
      </c>
      <c r="J66" s="77">
        <f t="shared" si="1"/>
        <v>53.335863377609115</v>
      </c>
    </row>
    <row r="67" spans="1:10" ht="12.75">
      <c r="A67" s="9" t="s">
        <v>747</v>
      </c>
      <c r="B67" s="12" t="s">
        <v>558</v>
      </c>
      <c r="C67" s="13" t="s">
        <v>66</v>
      </c>
      <c r="D67" s="13" t="s">
        <v>89</v>
      </c>
      <c r="E67" s="13" t="s">
        <v>669</v>
      </c>
      <c r="F67" s="13"/>
      <c r="G67" s="14">
        <f>G68+G72</f>
        <v>1317.5</v>
      </c>
      <c r="H67" s="87">
        <f>H68+H72</f>
        <v>702.7</v>
      </c>
      <c r="I67" s="14">
        <f t="shared" si="0"/>
        <v>614.8</v>
      </c>
      <c r="J67" s="77">
        <f t="shared" si="1"/>
        <v>53.335863377609115</v>
      </c>
    </row>
    <row r="68" spans="1:10" ht="25.5">
      <c r="A68" s="9" t="s">
        <v>667</v>
      </c>
      <c r="B68" s="12" t="s">
        <v>558</v>
      </c>
      <c r="C68" s="13" t="s">
        <v>66</v>
      </c>
      <c r="D68" s="13" t="s">
        <v>89</v>
      </c>
      <c r="E68" s="13" t="s">
        <v>670</v>
      </c>
      <c r="F68" s="13"/>
      <c r="G68" s="14">
        <f aca="true" t="shared" si="6" ref="G68:H70">G69</f>
        <v>673.9</v>
      </c>
      <c r="H68" s="87">
        <f t="shared" si="6"/>
        <v>60.2</v>
      </c>
      <c r="I68" s="14">
        <f t="shared" si="0"/>
        <v>613.6999999999999</v>
      </c>
      <c r="J68" s="77">
        <f t="shared" si="1"/>
        <v>8.933076124054015</v>
      </c>
    </row>
    <row r="69" spans="1:10" ht="25.5">
      <c r="A69" s="46" t="s">
        <v>770</v>
      </c>
      <c r="B69" s="12" t="s">
        <v>558</v>
      </c>
      <c r="C69" s="13" t="s">
        <v>66</v>
      </c>
      <c r="D69" s="13" t="s">
        <v>89</v>
      </c>
      <c r="E69" s="13" t="s">
        <v>670</v>
      </c>
      <c r="F69" s="13" t="s">
        <v>113</v>
      </c>
      <c r="G69" s="14">
        <f t="shared" si="6"/>
        <v>673.9</v>
      </c>
      <c r="H69" s="87">
        <f t="shared" si="6"/>
        <v>60.2</v>
      </c>
      <c r="I69" s="14">
        <f t="shared" si="0"/>
        <v>613.6999999999999</v>
      </c>
      <c r="J69" s="77">
        <f t="shared" si="1"/>
        <v>8.933076124054015</v>
      </c>
    </row>
    <row r="70" spans="1:10" ht="25.5">
      <c r="A70" s="9" t="s">
        <v>106</v>
      </c>
      <c r="B70" s="12" t="s">
        <v>558</v>
      </c>
      <c r="C70" s="13" t="s">
        <v>66</v>
      </c>
      <c r="D70" s="13" t="s">
        <v>89</v>
      </c>
      <c r="E70" s="13" t="s">
        <v>670</v>
      </c>
      <c r="F70" s="13" t="s">
        <v>107</v>
      </c>
      <c r="G70" s="14">
        <f t="shared" si="6"/>
        <v>673.9</v>
      </c>
      <c r="H70" s="87">
        <f t="shared" si="6"/>
        <v>60.2</v>
      </c>
      <c r="I70" s="14">
        <f t="shared" si="0"/>
        <v>613.6999999999999</v>
      </c>
      <c r="J70" s="77">
        <f t="shared" si="1"/>
        <v>8.933076124054015</v>
      </c>
    </row>
    <row r="71" spans="1:10" ht="25.5">
      <c r="A71" s="9" t="s">
        <v>108</v>
      </c>
      <c r="B71" s="12" t="s">
        <v>558</v>
      </c>
      <c r="C71" s="13" t="s">
        <v>66</v>
      </c>
      <c r="D71" s="13" t="s">
        <v>89</v>
      </c>
      <c r="E71" s="13" t="s">
        <v>670</v>
      </c>
      <c r="F71" s="13" t="s">
        <v>109</v>
      </c>
      <c r="G71" s="14">
        <f>693.1-19.2</f>
        <v>673.9</v>
      </c>
      <c r="H71" s="87">
        <v>60.2</v>
      </c>
      <c r="I71" s="14">
        <f t="shared" si="0"/>
        <v>613.6999999999999</v>
      </c>
      <c r="J71" s="77">
        <f t="shared" si="1"/>
        <v>8.933076124054015</v>
      </c>
    </row>
    <row r="72" spans="1:10" ht="89.25">
      <c r="A72" s="46" t="s">
        <v>316</v>
      </c>
      <c r="B72" s="12" t="s">
        <v>558</v>
      </c>
      <c r="C72" s="13" t="s">
        <v>66</v>
      </c>
      <c r="D72" s="13" t="s">
        <v>89</v>
      </c>
      <c r="E72" s="13" t="s">
        <v>317</v>
      </c>
      <c r="F72" s="13"/>
      <c r="G72" s="14">
        <f>G73+G78</f>
        <v>643.5999999999999</v>
      </c>
      <c r="H72" s="87">
        <f>H73+H78</f>
        <v>642.5</v>
      </c>
      <c r="I72" s="14">
        <f t="shared" si="0"/>
        <v>1.099999999999909</v>
      </c>
      <c r="J72" s="77">
        <f t="shared" si="1"/>
        <v>99.82908638906154</v>
      </c>
    </row>
    <row r="73" spans="1:10" ht="38.25">
      <c r="A73" s="46" t="s">
        <v>110</v>
      </c>
      <c r="B73" s="12" t="s">
        <v>558</v>
      </c>
      <c r="C73" s="13" t="s">
        <v>66</v>
      </c>
      <c r="D73" s="13" t="s">
        <v>89</v>
      </c>
      <c r="E73" s="13" t="s">
        <v>317</v>
      </c>
      <c r="F73" s="13" t="s">
        <v>111</v>
      </c>
      <c r="G73" s="14">
        <f>G74</f>
        <v>546.8</v>
      </c>
      <c r="H73" s="87">
        <f>H74</f>
        <v>545.9</v>
      </c>
      <c r="I73" s="14">
        <f t="shared" si="0"/>
        <v>0.8999999999999773</v>
      </c>
      <c r="J73" s="77">
        <f t="shared" si="1"/>
        <v>99.83540599853694</v>
      </c>
    </row>
    <row r="74" spans="1:10" ht="12.75">
      <c r="A74" s="46" t="s">
        <v>101</v>
      </c>
      <c r="B74" s="12" t="s">
        <v>558</v>
      </c>
      <c r="C74" s="13" t="s">
        <v>66</v>
      </c>
      <c r="D74" s="13" t="s">
        <v>89</v>
      </c>
      <c r="E74" s="13" t="s">
        <v>317</v>
      </c>
      <c r="F74" s="13" t="s">
        <v>102</v>
      </c>
      <c r="G74" s="14">
        <f>G75+G76+G77</f>
        <v>546.8</v>
      </c>
      <c r="H74" s="87">
        <f>H75+H76+H77</f>
        <v>545.9</v>
      </c>
      <c r="I74" s="14">
        <f aca="true" t="shared" si="7" ref="I74:I137">G74-H74</f>
        <v>0.8999999999999773</v>
      </c>
      <c r="J74" s="77">
        <f aca="true" t="shared" si="8" ref="J74:J137">H74/G74*100</f>
        <v>99.83540599853694</v>
      </c>
    </row>
    <row r="75" spans="1:10" ht="12.75">
      <c r="A75" s="46" t="s">
        <v>176</v>
      </c>
      <c r="B75" s="12" t="s">
        <v>558</v>
      </c>
      <c r="C75" s="13" t="s">
        <v>66</v>
      </c>
      <c r="D75" s="13" t="s">
        <v>89</v>
      </c>
      <c r="E75" s="13" t="s">
        <v>317</v>
      </c>
      <c r="F75" s="13" t="s">
        <v>103</v>
      </c>
      <c r="G75" s="14">
        <f>804.3-69-320.8</f>
        <v>414.49999999999994</v>
      </c>
      <c r="H75" s="87">
        <v>414.3</v>
      </c>
      <c r="I75" s="14">
        <f t="shared" si="7"/>
        <v>0.1999999999999318</v>
      </c>
      <c r="J75" s="77">
        <f t="shared" si="8"/>
        <v>99.95174909529555</v>
      </c>
    </row>
    <row r="76" spans="1:10" ht="25.5">
      <c r="A76" s="46" t="s">
        <v>104</v>
      </c>
      <c r="B76" s="12" t="s">
        <v>558</v>
      </c>
      <c r="C76" s="13" t="s">
        <v>66</v>
      </c>
      <c r="D76" s="13" t="s">
        <v>89</v>
      </c>
      <c r="E76" s="13" t="s">
        <v>317</v>
      </c>
      <c r="F76" s="13" t="s">
        <v>105</v>
      </c>
      <c r="G76" s="14">
        <f>72-40-18</f>
        <v>14</v>
      </c>
      <c r="H76" s="87">
        <v>13.9</v>
      </c>
      <c r="I76" s="14">
        <f t="shared" si="7"/>
        <v>0.09999999999999964</v>
      </c>
      <c r="J76" s="77">
        <f t="shared" si="8"/>
        <v>99.28571428571429</v>
      </c>
    </row>
    <row r="77" spans="1:10" ht="25.5">
      <c r="A77" s="46" t="s">
        <v>178</v>
      </c>
      <c r="B77" s="12" t="s">
        <v>558</v>
      </c>
      <c r="C77" s="13" t="s">
        <v>66</v>
      </c>
      <c r="D77" s="13" t="s">
        <v>89</v>
      </c>
      <c r="E77" s="13" t="s">
        <v>317</v>
      </c>
      <c r="F77" s="13" t="s">
        <v>177</v>
      </c>
      <c r="G77" s="14">
        <f>240-21-100.7</f>
        <v>118.3</v>
      </c>
      <c r="H77" s="87">
        <v>117.7</v>
      </c>
      <c r="I77" s="14">
        <f t="shared" si="7"/>
        <v>0.5999999999999943</v>
      </c>
      <c r="J77" s="77">
        <f t="shared" si="8"/>
        <v>99.49281487743026</v>
      </c>
    </row>
    <row r="78" spans="1:10" ht="25.5">
      <c r="A78" s="46" t="s">
        <v>770</v>
      </c>
      <c r="B78" s="12" t="s">
        <v>558</v>
      </c>
      <c r="C78" s="13" t="s">
        <v>66</v>
      </c>
      <c r="D78" s="13" t="s">
        <v>89</v>
      </c>
      <c r="E78" s="13" t="s">
        <v>317</v>
      </c>
      <c r="F78" s="13" t="s">
        <v>113</v>
      </c>
      <c r="G78" s="14">
        <f>G79</f>
        <v>96.80000000000001</v>
      </c>
      <c r="H78" s="87">
        <f>H79</f>
        <v>96.6</v>
      </c>
      <c r="I78" s="14">
        <f t="shared" si="7"/>
        <v>0.20000000000001705</v>
      </c>
      <c r="J78" s="77">
        <f t="shared" si="8"/>
        <v>99.79338842975206</v>
      </c>
    </row>
    <row r="79" spans="1:10" ht="25.5">
      <c r="A79" s="46" t="s">
        <v>106</v>
      </c>
      <c r="B79" s="12" t="s">
        <v>558</v>
      </c>
      <c r="C79" s="13" t="s">
        <v>66</v>
      </c>
      <c r="D79" s="13" t="s">
        <v>89</v>
      </c>
      <c r="E79" s="13" t="s">
        <v>317</v>
      </c>
      <c r="F79" s="13" t="s">
        <v>107</v>
      </c>
      <c r="G79" s="14">
        <f>G80</f>
        <v>96.80000000000001</v>
      </c>
      <c r="H79" s="87">
        <f>H80</f>
        <v>96.6</v>
      </c>
      <c r="I79" s="14">
        <f t="shared" si="7"/>
        <v>0.20000000000001705</v>
      </c>
      <c r="J79" s="77">
        <f t="shared" si="8"/>
        <v>99.79338842975206</v>
      </c>
    </row>
    <row r="80" spans="1:10" ht="25.5">
      <c r="A80" s="46" t="s">
        <v>108</v>
      </c>
      <c r="B80" s="12" t="s">
        <v>558</v>
      </c>
      <c r="C80" s="13" t="s">
        <v>66</v>
      </c>
      <c r="D80" s="13" t="s">
        <v>89</v>
      </c>
      <c r="E80" s="13" t="s">
        <v>317</v>
      </c>
      <c r="F80" s="13" t="s">
        <v>109</v>
      </c>
      <c r="G80" s="14">
        <f>122.4+130-155.6</f>
        <v>96.80000000000001</v>
      </c>
      <c r="H80" s="87">
        <v>96.6</v>
      </c>
      <c r="I80" s="14">
        <f t="shared" si="7"/>
        <v>0.20000000000001705</v>
      </c>
      <c r="J80" s="77">
        <f t="shared" si="8"/>
        <v>99.79338842975206</v>
      </c>
    </row>
    <row r="81" spans="1:10" ht="25.5">
      <c r="A81" s="46" t="s">
        <v>355</v>
      </c>
      <c r="B81" s="12" t="s">
        <v>558</v>
      </c>
      <c r="C81" s="13" t="s">
        <v>66</v>
      </c>
      <c r="D81" s="13" t="s">
        <v>89</v>
      </c>
      <c r="E81" s="45" t="s">
        <v>222</v>
      </c>
      <c r="F81" s="13"/>
      <c r="G81" s="14">
        <f aca="true" t="shared" si="9" ref="G81:H85">G82</f>
        <v>8.5</v>
      </c>
      <c r="H81" s="87">
        <f t="shared" si="9"/>
        <v>8.5</v>
      </c>
      <c r="I81" s="14">
        <f t="shared" si="7"/>
        <v>0</v>
      </c>
      <c r="J81" s="77">
        <f t="shared" si="8"/>
        <v>100</v>
      </c>
    </row>
    <row r="82" spans="1:10" ht="25.5">
      <c r="A82" s="46" t="s">
        <v>280</v>
      </c>
      <c r="B82" s="12" t="s">
        <v>558</v>
      </c>
      <c r="C82" s="13" t="s">
        <v>66</v>
      </c>
      <c r="D82" s="13" t="s">
        <v>89</v>
      </c>
      <c r="E82" s="45" t="s">
        <v>434</v>
      </c>
      <c r="F82" s="13"/>
      <c r="G82" s="14">
        <f t="shared" si="9"/>
        <v>8.5</v>
      </c>
      <c r="H82" s="87">
        <f t="shared" si="9"/>
        <v>8.5</v>
      </c>
      <c r="I82" s="14">
        <f t="shared" si="7"/>
        <v>0</v>
      </c>
      <c r="J82" s="77">
        <f t="shared" si="8"/>
        <v>100</v>
      </c>
    </row>
    <row r="83" spans="1:10" ht="25.5">
      <c r="A83" s="46" t="s">
        <v>240</v>
      </c>
      <c r="B83" s="12" t="s">
        <v>558</v>
      </c>
      <c r="C83" s="13" t="s">
        <v>66</v>
      </c>
      <c r="D83" s="13" t="s">
        <v>89</v>
      </c>
      <c r="E83" s="45" t="s">
        <v>435</v>
      </c>
      <c r="F83" s="13"/>
      <c r="G83" s="14">
        <f t="shared" si="9"/>
        <v>8.5</v>
      </c>
      <c r="H83" s="87">
        <f t="shared" si="9"/>
        <v>8.5</v>
      </c>
      <c r="I83" s="14">
        <f t="shared" si="7"/>
        <v>0</v>
      </c>
      <c r="J83" s="77">
        <f t="shared" si="8"/>
        <v>100</v>
      </c>
    </row>
    <row r="84" spans="1:10" ht="25.5">
      <c r="A84" s="46" t="s">
        <v>770</v>
      </c>
      <c r="B84" s="12" t="s">
        <v>558</v>
      </c>
      <c r="C84" s="13" t="s">
        <v>66</v>
      </c>
      <c r="D84" s="13" t="s">
        <v>89</v>
      </c>
      <c r="E84" s="45" t="s">
        <v>435</v>
      </c>
      <c r="F84" s="13" t="s">
        <v>113</v>
      </c>
      <c r="G84" s="14">
        <f t="shared" si="9"/>
        <v>8.5</v>
      </c>
      <c r="H84" s="87">
        <f t="shared" si="9"/>
        <v>8.5</v>
      </c>
      <c r="I84" s="14">
        <f t="shared" si="7"/>
        <v>0</v>
      </c>
      <c r="J84" s="77">
        <f t="shared" si="8"/>
        <v>100</v>
      </c>
    </row>
    <row r="85" spans="1:10" ht="25.5">
      <c r="A85" s="46" t="s">
        <v>106</v>
      </c>
      <c r="B85" s="12" t="s">
        <v>558</v>
      </c>
      <c r="C85" s="13" t="s">
        <v>66</v>
      </c>
      <c r="D85" s="13" t="s">
        <v>89</v>
      </c>
      <c r="E85" s="45" t="s">
        <v>435</v>
      </c>
      <c r="F85" s="13" t="s">
        <v>107</v>
      </c>
      <c r="G85" s="14">
        <f t="shared" si="9"/>
        <v>8.5</v>
      </c>
      <c r="H85" s="87">
        <f t="shared" si="9"/>
        <v>8.5</v>
      </c>
      <c r="I85" s="14">
        <f t="shared" si="7"/>
        <v>0</v>
      </c>
      <c r="J85" s="77">
        <f t="shared" si="8"/>
        <v>100</v>
      </c>
    </row>
    <row r="86" spans="1:10" ht="25.5">
      <c r="A86" s="46" t="s">
        <v>108</v>
      </c>
      <c r="B86" s="12" t="s">
        <v>558</v>
      </c>
      <c r="C86" s="13" t="s">
        <v>66</v>
      </c>
      <c r="D86" s="13" t="s">
        <v>89</v>
      </c>
      <c r="E86" s="45" t="s">
        <v>435</v>
      </c>
      <c r="F86" s="13" t="s">
        <v>109</v>
      </c>
      <c r="G86" s="14">
        <f>50-41.5</f>
        <v>8.5</v>
      </c>
      <c r="H86" s="87">
        <v>8.5</v>
      </c>
      <c r="I86" s="14">
        <f t="shared" si="7"/>
        <v>0</v>
      </c>
      <c r="J86" s="77">
        <f t="shared" si="8"/>
        <v>100</v>
      </c>
    </row>
    <row r="87" spans="1:10" ht="25.5">
      <c r="A87" s="9" t="s">
        <v>663</v>
      </c>
      <c r="B87" s="13" t="s">
        <v>558</v>
      </c>
      <c r="C87" s="13" t="s">
        <v>66</v>
      </c>
      <c r="D87" s="13" t="s">
        <v>89</v>
      </c>
      <c r="E87" s="45" t="s">
        <v>621</v>
      </c>
      <c r="F87" s="70"/>
      <c r="G87" s="14">
        <f>G88</f>
        <v>82.5</v>
      </c>
      <c r="H87" s="87">
        <f>H88</f>
        <v>77.5</v>
      </c>
      <c r="I87" s="14">
        <f t="shared" si="7"/>
        <v>5</v>
      </c>
      <c r="J87" s="77">
        <f t="shared" si="8"/>
        <v>93.93939393939394</v>
      </c>
    </row>
    <row r="88" spans="1:10" ht="25.5">
      <c r="A88" s="9" t="s">
        <v>620</v>
      </c>
      <c r="B88" s="13" t="s">
        <v>558</v>
      </c>
      <c r="C88" s="13" t="s">
        <v>66</v>
      </c>
      <c r="D88" s="13" t="s">
        <v>89</v>
      </c>
      <c r="E88" s="45" t="s">
        <v>622</v>
      </c>
      <c r="F88" s="70"/>
      <c r="G88" s="14">
        <f>G89+G93+G97</f>
        <v>82.5</v>
      </c>
      <c r="H88" s="87">
        <f>H89+H93+H97</f>
        <v>77.5</v>
      </c>
      <c r="I88" s="14">
        <f t="shared" si="7"/>
        <v>5</v>
      </c>
      <c r="J88" s="77">
        <f t="shared" si="8"/>
        <v>93.93939393939394</v>
      </c>
    </row>
    <row r="89" spans="1:10" ht="38.25">
      <c r="A89" s="9" t="s">
        <v>671</v>
      </c>
      <c r="B89" s="13" t="s">
        <v>558</v>
      </c>
      <c r="C89" s="13" t="s">
        <v>66</v>
      </c>
      <c r="D89" s="13" t="s">
        <v>89</v>
      </c>
      <c r="E89" s="45" t="s">
        <v>672</v>
      </c>
      <c r="F89" s="70"/>
      <c r="G89" s="14">
        <f aca="true" t="shared" si="10" ref="G89:H91">G90</f>
        <v>34.5</v>
      </c>
      <c r="H89" s="87">
        <f t="shared" si="10"/>
        <v>34.5</v>
      </c>
      <c r="I89" s="14">
        <f t="shared" si="7"/>
        <v>0</v>
      </c>
      <c r="J89" s="77">
        <f t="shared" si="8"/>
        <v>100</v>
      </c>
    </row>
    <row r="90" spans="1:10" ht="25.5">
      <c r="A90" s="46" t="s">
        <v>770</v>
      </c>
      <c r="B90" s="13" t="s">
        <v>558</v>
      </c>
      <c r="C90" s="13" t="s">
        <v>66</v>
      </c>
      <c r="D90" s="13" t="s">
        <v>89</v>
      </c>
      <c r="E90" s="45" t="s">
        <v>672</v>
      </c>
      <c r="F90" s="70" t="s">
        <v>113</v>
      </c>
      <c r="G90" s="14">
        <f t="shared" si="10"/>
        <v>34.5</v>
      </c>
      <c r="H90" s="87">
        <f t="shared" si="10"/>
        <v>34.5</v>
      </c>
      <c r="I90" s="14">
        <f t="shared" si="7"/>
        <v>0</v>
      </c>
      <c r="J90" s="77">
        <f t="shared" si="8"/>
        <v>100</v>
      </c>
    </row>
    <row r="91" spans="1:10" ht="25.5">
      <c r="A91" s="9" t="s">
        <v>106</v>
      </c>
      <c r="B91" s="13" t="s">
        <v>558</v>
      </c>
      <c r="C91" s="13" t="s">
        <v>66</v>
      </c>
      <c r="D91" s="13" t="s">
        <v>89</v>
      </c>
      <c r="E91" s="45" t="s">
        <v>672</v>
      </c>
      <c r="F91" s="70" t="s">
        <v>107</v>
      </c>
      <c r="G91" s="14">
        <f t="shared" si="10"/>
        <v>34.5</v>
      </c>
      <c r="H91" s="87">
        <f t="shared" si="10"/>
        <v>34.5</v>
      </c>
      <c r="I91" s="14">
        <f t="shared" si="7"/>
        <v>0</v>
      </c>
      <c r="J91" s="77">
        <f t="shared" si="8"/>
        <v>100</v>
      </c>
    </row>
    <row r="92" spans="1:10" ht="25.5">
      <c r="A92" s="9" t="s">
        <v>108</v>
      </c>
      <c r="B92" s="13" t="s">
        <v>558</v>
      </c>
      <c r="C92" s="13" t="s">
        <v>66</v>
      </c>
      <c r="D92" s="13" t="s">
        <v>89</v>
      </c>
      <c r="E92" s="45" t="s">
        <v>672</v>
      </c>
      <c r="F92" s="70" t="s">
        <v>109</v>
      </c>
      <c r="G92" s="14">
        <f>52-17.5</f>
        <v>34.5</v>
      </c>
      <c r="H92" s="87">
        <v>34.5</v>
      </c>
      <c r="I92" s="14">
        <f t="shared" si="7"/>
        <v>0</v>
      </c>
      <c r="J92" s="77">
        <f t="shared" si="8"/>
        <v>100</v>
      </c>
    </row>
    <row r="93" spans="1:10" ht="25.5">
      <c r="A93" s="9" t="s">
        <v>652</v>
      </c>
      <c r="B93" s="13" t="s">
        <v>558</v>
      </c>
      <c r="C93" s="13" t="s">
        <v>66</v>
      </c>
      <c r="D93" s="13" t="s">
        <v>89</v>
      </c>
      <c r="E93" s="45" t="s">
        <v>664</v>
      </c>
      <c r="F93" s="70"/>
      <c r="G93" s="14">
        <f aca="true" t="shared" si="11" ref="G93:H95">G94</f>
        <v>10</v>
      </c>
      <c r="H93" s="87">
        <f t="shared" si="11"/>
        <v>5</v>
      </c>
      <c r="I93" s="14">
        <f t="shared" si="7"/>
        <v>5</v>
      </c>
      <c r="J93" s="77">
        <f t="shared" si="8"/>
        <v>50</v>
      </c>
    </row>
    <row r="94" spans="1:10" ht="25.5">
      <c r="A94" s="46" t="s">
        <v>770</v>
      </c>
      <c r="B94" s="13" t="s">
        <v>558</v>
      </c>
      <c r="C94" s="13" t="s">
        <v>66</v>
      </c>
      <c r="D94" s="13" t="s">
        <v>89</v>
      </c>
      <c r="E94" s="45" t="s">
        <v>664</v>
      </c>
      <c r="F94" s="70" t="s">
        <v>113</v>
      </c>
      <c r="G94" s="14">
        <f t="shared" si="11"/>
        <v>10</v>
      </c>
      <c r="H94" s="87">
        <f t="shared" si="11"/>
        <v>5</v>
      </c>
      <c r="I94" s="14">
        <f t="shared" si="7"/>
        <v>5</v>
      </c>
      <c r="J94" s="77">
        <f t="shared" si="8"/>
        <v>50</v>
      </c>
    </row>
    <row r="95" spans="1:10" ht="25.5">
      <c r="A95" s="9" t="s">
        <v>106</v>
      </c>
      <c r="B95" s="13" t="s">
        <v>558</v>
      </c>
      <c r="C95" s="13" t="s">
        <v>66</v>
      </c>
      <c r="D95" s="13" t="s">
        <v>89</v>
      </c>
      <c r="E95" s="45" t="s">
        <v>664</v>
      </c>
      <c r="F95" s="70" t="s">
        <v>107</v>
      </c>
      <c r="G95" s="14">
        <f t="shared" si="11"/>
        <v>10</v>
      </c>
      <c r="H95" s="87">
        <f t="shared" si="11"/>
        <v>5</v>
      </c>
      <c r="I95" s="14">
        <f t="shared" si="7"/>
        <v>5</v>
      </c>
      <c r="J95" s="77">
        <f t="shared" si="8"/>
        <v>50</v>
      </c>
    </row>
    <row r="96" spans="1:10" ht="25.5">
      <c r="A96" s="9" t="s">
        <v>108</v>
      </c>
      <c r="B96" s="13" t="s">
        <v>558</v>
      </c>
      <c r="C96" s="13" t="s">
        <v>66</v>
      </c>
      <c r="D96" s="13" t="s">
        <v>89</v>
      </c>
      <c r="E96" s="45" t="s">
        <v>664</v>
      </c>
      <c r="F96" s="70" t="s">
        <v>109</v>
      </c>
      <c r="G96" s="14">
        <v>10</v>
      </c>
      <c r="H96" s="87">
        <v>5</v>
      </c>
      <c r="I96" s="14">
        <f t="shared" si="7"/>
        <v>5</v>
      </c>
      <c r="J96" s="77">
        <f t="shared" si="8"/>
        <v>50</v>
      </c>
    </row>
    <row r="97" spans="1:10" ht="12.75">
      <c r="A97" s="9" t="s">
        <v>724</v>
      </c>
      <c r="B97" s="13" t="s">
        <v>558</v>
      </c>
      <c r="C97" s="13" t="s">
        <v>66</v>
      </c>
      <c r="D97" s="13" t="s">
        <v>89</v>
      </c>
      <c r="E97" s="45" t="s">
        <v>709</v>
      </c>
      <c r="F97" s="70"/>
      <c r="G97" s="14">
        <f aca="true" t="shared" si="12" ref="G97:H99">G98</f>
        <v>38</v>
      </c>
      <c r="H97" s="87">
        <f t="shared" si="12"/>
        <v>38</v>
      </c>
      <c r="I97" s="14">
        <f t="shared" si="7"/>
        <v>0</v>
      </c>
      <c r="J97" s="77">
        <f t="shared" si="8"/>
        <v>100</v>
      </c>
    </row>
    <row r="98" spans="1:10" ht="25.5">
      <c r="A98" s="46" t="s">
        <v>770</v>
      </c>
      <c r="B98" s="13" t="s">
        <v>558</v>
      </c>
      <c r="C98" s="13" t="s">
        <v>66</v>
      </c>
      <c r="D98" s="13" t="s">
        <v>89</v>
      </c>
      <c r="E98" s="45" t="s">
        <v>709</v>
      </c>
      <c r="F98" s="70" t="s">
        <v>113</v>
      </c>
      <c r="G98" s="14">
        <f t="shared" si="12"/>
        <v>38</v>
      </c>
      <c r="H98" s="87">
        <f t="shared" si="12"/>
        <v>38</v>
      </c>
      <c r="I98" s="14">
        <f t="shared" si="7"/>
        <v>0</v>
      </c>
      <c r="J98" s="77">
        <f t="shared" si="8"/>
        <v>100</v>
      </c>
    </row>
    <row r="99" spans="1:10" ht="25.5">
      <c r="A99" s="9" t="s">
        <v>106</v>
      </c>
      <c r="B99" s="13" t="s">
        <v>558</v>
      </c>
      <c r="C99" s="13" t="s">
        <v>66</v>
      </c>
      <c r="D99" s="13" t="s">
        <v>89</v>
      </c>
      <c r="E99" s="45" t="s">
        <v>709</v>
      </c>
      <c r="F99" s="70" t="s">
        <v>107</v>
      </c>
      <c r="G99" s="14">
        <f t="shared" si="12"/>
        <v>38</v>
      </c>
      <c r="H99" s="87">
        <f t="shared" si="12"/>
        <v>38</v>
      </c>
      <c r="I99" s="14">
        <f t="shared" si="7"/>
        <v>0</v>
      </c>
      <c r="J99" s="77">
        <f t="shared" si="8"/>
        <v>100</v>
      </c>
    </row>
    <row r="100" spans="1:10" ht="25.5">
      <c r="A100" s="9" t="s">
        <v>108</v>
      </c>
      <c r="B100" s="13" t="s">
        <v>558</v>
      </c>
      <c r="C100" s="13" t="s">
        <v>66</v>
      </c>
      <c r="D100" s="13" t="s">
        <v>89</v>
      </c>
      <c r="E100" s="45" t="s">
        <v>709</v>
      </c>
      <c r="F100" s="70" t="s">
        <v>109</v>
      </c>
      <c r="G100" s="14">
        <v>38</v>
      </c>
      <c r="H100" s="87">
        <v>38</v>
      </c>
      <c r="I100" s="14">
        <f t="shared" si="7"/>
        <v>0</v>
      </c>
      <c r="J100" s="77">
        <f t="shared" si="8"/>
        <v>100</v>
      </c>
    </row>
    <row r="101" spans="1:10" ht="12.75">
      <c r="A101" s="46" t="s">
        <v>503</v>
      </c>
      <c r="B101" s="12" t="s">
        <v>558</v>
      </c>
      <c r="C101" s="13" t="s">
        <v>66</v>
      </c>
      <c r="D101" s="13" t="s">
        <v>89</v>
      </c>
      <c r="E101" s="13" t="s">
        <v>252</v>
      </c>
      <c r="F101" s="13"/>
      <c r="G101" s="14">
        <f aca="true" t="shared" si="13" ref="G101:H105">G102</f>
        <v>34</v>
      </c>
      <c r="H101" s="87">
        <f t="shared" si="13"/>
        <v>33.3</v>
      </c>
      <c r="I101" s="14">
        <f t="shared" si="7"/>
        <v>0.7000000000000028</v>
      </c>
      <c r="J101" s="77">
        <f t="shared" si="8"/>
        <v>97.94117647058823</v>
      </c>
    </row>
    <row r="102" spans="1:10" ht="12.75">
      <c r="A102" s="46" t="s">
        <v>504</v>
      </c>
      <c r="B102" s="12" t="s">
        <v>558</v>
      </c>
      <c r="C102" s="13" t="s">
        <v>66</v>
      </c>
      <c r="D102" s="13" t="s">
        <v>89</v>
      </c>
      <c r="E102" s="13" t="s">
        <v>501</v>
      </c>
      <c r="F102" s="13"/>
      <c r="G102" s="14">
        <f t="shared" si="13"/>
        <v>34</v>
      </c>
      <c r="H102" s="87">
        <f t="shared" si="13"/>
        <v>33.3</v>
      </c>
      <c r="I102" s="14">
        <f t="shared" si="7"/>
        <v>0.7000000000000028</v>
      </c>
      <c r="J102" s="77">
        <f t="shared" si="8"/>
        <v>97.94117647058823</v>
      </c>
    </row>
    <row r="103" spans="1:10" ht="39" customHeight="1">
      <c r="A103" s="46" t="s">
        <v>381</v>
      </c>
      <c r="B103" s="12" t="s">
        <v>558</v>
      </c>
      <c r="C103" s="13" t="s">
        <v>66</v>
      </c>
      <c r="D103" s="13" t="s">
        <v>89</v>
      </c>
      <c r="E103" s="13" t="s">
        <v>502</v>
      </c>
      <c r="F103" s="13"/>
      <c r="G103" s="14">
        <f t="shared" si="13"/>
        <v>34</v>
      </c>
      <c r="H103" s="87">
        <f t="shared" si="13"/>
        <v>33.3</v>
      </c>
      <c r="I103" s="14">
        <f t="shared" si="7"/>
        <v>0.7000000000000028</v>
      </c>
      <c r="J103" s="77">
        <f t="shared" si="8"/>
        <v>97.94117647058823</v>
      </c>
    </row>
    <row r="104" spans="1:10" ht="38.25">
      <c r="A104" s="46" t="s">
        <v>110</v>
      </c>
      <c r="B104" s="12" t="s">
        <v>558</v>
      </c>
      <c r="C104" s="13" t="s">
        <v>66</v>
      </c>
      <c r="D104" s="13" t="s">
        <v>89</v>
      </c>
      <c r="E104" s="13" t="s">
        <v>502</v>
      </c>
      <c r="F104" s="13" t="s">
        <v>111</v>
      </c>
      <c r="G104" s="14">
        <f t="shared" si="13"/>
        <v>34</v>
      </c>
      <c r="H104" s="87">
        <f t="shared" si="13"/>
        <v>33.3</v>
      </c>
      <c r="I104" s="14">
        <f t="shared" si="7"/>
        <v>0.7000000000000028</v>
      </c>
      <c r="J104" s="77">
        <f t="shared" si="8"/>
        <v>97.94117647058823</v>
      </c>
    </row>
    <row r="105" spans="1:10" ht="12.75">
      <c r="A105" s="46" t="s">
        <v>101</v>
      </c>
      <c r="B105" s="12" t="s">
        <v>558</v>
      </c>
      <c r="C105" s="13" t="s">
        <v>66</v>
      </c>
      <c r="D105" s="13" t="s">
        <v>89</v>
      </c>
      <c r="E105" s="13" t="s">
        <v>502</v>
      </c>
      <c r="F105" s="13" t="s">
        <v>102</v>
      </c>
      <c r="G105" s="14">
        <f t="shared" si="13"/>
        <v>34</v>
      </c>
      <c r="H105" s="87">
        <f t="shared" si="13"/>
        <v>33.3</v>
      </c>
      <c r="I105" s="14">
        <f t="shared" si="7"/>
        <v>0.7000000000000028</v>
      </c>
      <c r="J105" s="77">
        <f t="shared" si="8"/>
        <v>97.94117647058823</v>
      </c>
    </row>
    <row r="106" spans="1:10" ht="25.5">
      <c r="A106" s="46" t="s">
        <v>104</v>
      </c>
      <c r="B106" s="12" t="s">
        <v>558</v>
      </c>
      <c r="C106" s="13" t="s">
        <v>66</v>
      </c>
      <c r="D106" s="13" t="s">
        <v>89</v>
      </c>
      <c r="E106" s="13" t="s">
        <v>502</v>
      </c>
      <c r="F106" s="13" t="s">
        <v>105</v>
      </c>
      <c r="G106" s="14">
        <f>115-81</f>
        <v>34</v>
      </c>
      <c r="H106" s="87">
        <v>33.3</v>
      </c>
      <c r="I106" s="14">
        <f t="shared" si="7"/>
        <v>0.7000000000000028</v>
      </c>
      <c r="J106" s="77">
        <f t="shared" si="8"/>
        <v>97.94117647058823</v>
      </c>
    </row>
    <row r="107" spans="1:10" ht="24" customHeight="1">
      <c r="A107" s="46" t="s">
        <v>557</v>
      </c>
      <c r="B107" s="12" t="s">
        <v>558</v>
      </c>
      <c r="C107" s="13" t="s">
        <v>66</v>
      </c>
      <c r="D107" s="13" t="s">
        <v>89</v>
      </c>
      <c r="E107" s="13" t="s">
        <v>251</v>
      </c>
      <c r="F107" s="29"/>
      <c r="G107" s="14">
        <f>G108</f>
        <v>1550.4</v>
      </c>
      <c r="H107" s="87">
        <f>H108</f>
        <v>1252.5</v>
      </c>
      <c r="I107" s="14">
        <f t="shared" si="7"/>
        <v>297.9000000000001</v>
      </c>
      <c r="J107" s="77">
        <f t="shared" si="8"/>
        <v>80.78560371517027</v>
      </c>
    </row>
    <row r="108" spans="1:10" ht="12.75">
      <c r="A108" s="46" t="s">
        <v>50</v>
      </c>
      <c r="B108" s="12" t="s">
        <v>558</v>
      </c>
      <c r="C108" s="13" t="s">
        <v>66</v>
      </c>
      <c r="D108" s="13" t="s">
        <v>89</v>
      </c>
      <c r="E108" s="13" t="s">
        <v>277</v>
      </c>
      <c r="F108" s="13"/>
      <c r="G108" s="14">
        <f>G109</f>
        <v>1550.4</v>
      </c>
      <c r="H108" s="87">
        <f>H109</f>
        <v>1252.5</v>
      </c>
      <c r="I108" s="14">
        <f t="shared" si="7"/>
        <v>297.9000000000001</v>
      </c>
      <c r="J108" s="77">
        <f t="shared" si="8"/>
        <v>80.78560371517027</v>
      </c>
    </row>
    <row r="109" spans="1:10" ht="51">
      <c r="A109" s="46" t="s">
        <v>307</v>
      </c>
      <c r="B109" s="12" t="s">
        <v>558</v>
      </c>
      <c r="C109" s="13" t="s">
        <v>66</v>
      </c>
      <c r="D109" s="13" t="s">
        <v>89</v>
      </c>
      <c r="E109" s="13" t="s">
        <v>348</v>
      </c>
      <c r="F109" s="13"/>
      <c r="G109" s="14">
        <f>G110+G115</f>
        <v>1550.4</v>
      </c>
      <c r="H109" s="87">
        <f>H110+H115</f>
        <v>1252.5</v>
      </c>
      <c r="I109" s="14">
        <f t="shared" si="7"/>
        <v>297.9000000000001</v>
      </c>
      <c r="J109" s="77">
        <f t="shared" si="8"/>
        <v>80.78560371517027</v>
      </c>
    </row>
    <row r="110" spans="1:10" ht="38.25">
      <c r="A110" s="46" t="s">
        <v>110</v>
      </c>
      <c r="B110" s="12" t="s">
        <v>558</v>
      </c>
      <c r="C110" s="13" t="s">
        <v>66</v>
      </c>
      <c r="D110" s="13" t="s">
        <v>89</v>
      </c>
      <c r="E110" s="13" t="s">
        <v>348</v>
      </c>
      <c r="F110" s="13" t="s">
        <v>111</v>
      </c>
      <c r="G110" s="14">
        <f>G111</f>
        <v>1329.4</v>
      </c>
      <c r="H110" s="87">
        <f>H111</f>
        <v>1079</v>
      </c>
      <c r="I110" s="14">
        <f t="shared" si="7"/>
        <v>250.4000000000001</v>
      </c>
      <c r="J110" s="77">
        <f t="shared" si="8"/>
        <v>81.16443508349631</v>
      </c>
    </row>
    <row r="111" spans="1:10" ht="20.25" customHeight="1">
      <c r="A111" s="46" t="s">
        <v>101</v>
      </c>
      <c r="B111" s="12" t="s">
        <v>558</v>
      </c>
      <c r="C111" s="13" t="s">
        <v>66</v>
      </c>
      <c r="D111" s="13" t="s">
        <v>89</v>
      </c>
      <c r="E111" s="13" t="s">
        <v>348</v>
      </c>
      <c r="F111" s="13" t="s">
        <v>102</v>
      </c>
      <c r="G111" s="14">
        <f>G112+G113+G114</f>
        <v>1329.4</v>
      </c>
      <c r="H111" s="87">
        <f>H112+H113+H114</f>
        <v>1079</v>
      </c>
      <c r="I111" s="14">
        <f t="shared" si="7"/>
        <v>250.4000000000001</v>
      </c>
      <c r="J111" s="77">
        <f t="shared" si="8"/>
        <v>81.16443508349631</v>
      </c>
    </row>
    <row r="112" spans="1:10" ht="19.5" customHeight="1">
      <c r="A112" s="46" t="s">
        <v>176</v>
      </c>
      <c r="B112" s="12" t="s">
        <v>558</v>
      </c>
      <c r="C112" s="13" t="s">
        <v>66</v>
      </c>
      <c r="D112" s="13" t="s">
        <v>89</v>
      </c>
      <c r="E112" s="13" t="s">
        <v>348</v>
      </c>
      <c r="F112" s="13" t="s">
        <v>103</v>
      </c>
      <c r="G112" s="14">
        <f>1040.5</f>
        <v>1040.5</v>
      </c>
      <c r="H112" s="87">
        <v>828.3</v>
      </c>
      <c r="I112" s="14">
        <f t="shared" si="7"/>
        <v>212.20000000000005</v>
      </c>
      <c r="J112" s="77">
        <f t="shared" si="8"/>
        <v>79.60595867371455</v>
      </c>
    </row>
    <row r="113" spans="1:10" ht="25.5">
      <c r="A113" s="46" t="s">
        <v>104</v>
      </c>
      <c r="B113" s="12" t="s">
        <v>558</v>
      </c>
      <c r="C113" s="13" t="s">
        <v>66</v>
      </c>
      <c r="D113" s="13" t="s">
        <v>89</v>
      </c>
      <c r="E113" s="13" t="s">
        <v>348</v>
      </c>
      <c r="F113" s="13" t="s">
        <v>105</v>
      </c>
      <c r="G113" s="14">
        <f>10+12-14.1</f>
        <v>7.9</v>
      </c>
      <c r="H113" s="87">
        <v>7.9</v>
      </c>
      <c r="I113" s="14">
        <f t="shared" si="7"/>
        <v>0</v>
      </c>
      <c r="J113" s="77">
        <f t="shared" si="8"/>
        <v>100</v>
      </c>
    </row>
    <row r="114" spans="1:10" ht="25.5">
      <c r="A114" s="46" t="s">
        <v>178</v>
      </c>
      <c r="B114" s="12" t="s">
        <v>558</v>
      </c>
      <c r="C114" s="13" t="s">
        <v>66</v>
      </c>
      <c r="D114" s="13" t="s">
        <v>89</v>
      </c>
      <c r="E114" s="13" t="s">
        <v>348</v>
      </c>
      <c r="F114" s="13" t="s">
        <v>177</v>
      </c>
      <c r="G114" s="14">
        <f>281</f>
        <v>281</v>
      </c>
      <c r="H114" s="87">
        <v>242.8</v>
      </c>
      <c r="I114" s="14">
        <f t="shared" si="7"/>
        <v>38.19999999999999</v>
      </c>
      <c r="J114" s="77">
        <f t="shared" si="8"/>
        <v>86.40569395017795</v>
      </c>
    </row>
    <row r="115" spans="1:10" ht="25.5">
      <c r="A115" s="46" t="s">
        <v>770</v>
      </c>
      <c r="B115" s="12" t="s">
        <v>558</v>
      </c>
      <c r="C115" s="13" t="s">
        <v>66</v>
      </c>
      <c r="D115" s="13" t="s">
        <v>89</v>
      </c>
      <c r="E115" s="13" t="s">
        <v>348</v>
      </c>
      <c r="F115" s="13" t="s">
        <v>113</v>
      </c>
      <c r="G115" s="14">
        <f>G116</f>
        <v>220.99999999999997</v>
      </c>
      <c r="H115" s="87">
        <f>H116</f>
        <v>173.5</v>
      </c>
      <c r="I115" s="14">
        <f t="shared" si="7"/>
        <v>47.49999999999997</v>
      </c>
      <c r="J115" s="77">
        <f t="shared" si="8"/>
        <v>78.50678733031675</v>
      </c>
    </row>
    <row r="116" spans="1:10" ht="25.5">
      <c r="A116" s="46" t="s">
        <v>106</v>
      </c>
      <c r="B116" s="12" t="s">
        <v>558</v>
      </c>
      <c r="C116" s="13" t="s">
        <v>66</v>
      </c>
      <c r="D116" s="13" t="s">
        <v>89</v>
      </c>
      <c r="E116" s="13" t="s">
        <v>348</v>
      </c>
      <c r="F116" s="13" t="s">
        <v>107</v>
      </c>
      <c r="G116" s="14">
        <f>G117</f>
        <v>220.99999999999997</v>
      </c>
      <c r="H116" s="87">
        <f>H117</f>
        <v>173.5</v>
      </c>
      <c r="I116" s="14">
        <f t="shared" si="7"/>
        <v>47.49999999999997</v>
      </c>
      <c r="J116" s="77">
        <f t="shared" si="8"/>
        <v>78.50678733031675</v>
      </c>
    </row>
    <row r="117" spans="1:10" ht="25.5">
      <c r="A117" s="46" t="s">
        <v>108</v>
      </c>
      <c r="B117" s="12" t="s">
        <v>558</v>
      </c>
      <c r="C117" s="13" t="s">
        <v>66</v>
      </c>
      <c r="D117" s="13" t="s">
        <v>89</v>
      </c>
      <c r="E117" s="13" t="s">
        <v>348</v>
      </c>
      <c r="F117" s="13" t="s">
        <v>109</v>
      </c>
      <c r="G117" s="14">
        <f>102.4+14.5+55+86-36.9</f>
        <v>220.99999999999997</v>
      </c>
      <c r="H117" s="87">
        <v>173.5</v>
      </c>
      <c r="I117" s="14">
        <f t="shared" si="7"/>
        <v>47.49999999999997</v>
      </c>
      <c r="J117" s="77">
        <f t="shared" si="8"/>
        <v>78.50678733031675</v>
      </c>
    </row>
    <row r="118" spans="1:10" ht="12.75" hidden="1">
      <c r="A118" s="98"/>
      <c r="B118" s="99"/>
      <c r="C118" s="100"/>
      <c r="D118" s="100"/>
      <c r="E118" s="100"/>
      <c r="F118" s="100"/>
      <c r="G118" s="97"/>
      <c r="H118" s="87"/>
      <c r="I118" s="14">
        <f t="shared" si="7"/>
        <v>0</v>
      </c>
      <c r="J118" s="77" t="e">
        <f t="shared" si="8"/>
        <v>#DIV/0!</v>
      </c>
    </row>
    <row r="119" spans="1:10" ht="12.75" hidden="1">
      <c r="A119" s="98"/>
      <c r="B119" s="99"/>
      <c r="C119" s="100"/>
      <c r="D119" s="100"/>
      <c r="E119" s="100"/>
      <c r="F119" s="100"/>
      <c r="G119" s="97"/>
      <c r="H119" s="87"/>
      <c r="I119" s="14">
        <f t="shared" si="7"/>
        <v>0</v>
      </c>
      <c r="J119" s="77" t="e">
        <f t="shared" si="8"/>
        <v>#DIV/0!</v>
      </c>
    </row>
    <row r="120" spans="1:10" ht="12.75" hidden="1">
      <c r="A120" s="46"/>
      <c r="B120" s="12"/>
      <c r="C120" s="13"/>
      <c r="D120" s="13"/>
      <c r="E120" s="13"/>
      <c r="F120" s="13"/>
      <c r="G120" s="14"/>
      <c r="H120" s="87"/>
      <c r="I120" s="14">
        <f t="shared" si="7"/>
        <v>0</v>
      </c>
      <c r="J120" s="77" t="e">
        <f t="shared" si="8"/>
        <v>#DIV/0!</v>
      </c>
    </row>
    <row r="121" spans="1:10" ht="12.75" hidden="1">
      <c r="A121" s="46"/>
      <c r="B121" s="12"/>
      <c r="C121" s="13"/>
      <c r="D121" s="13"/>
      <c r="E121" s="13"/>
      <c r="F121" s="13"/>
      <c r="G121" s="14"/>
      <c r="H121" s="87"/>
      <c r="I121" s="14">
        <f t="shared" si="7"/>
        <v>0</v>
      </c>
      <c r="J121" s="77" t="e">
        <f t="shared" si="8"/>
        <v>#DIV/0!</v>
      </c>
    </row>
    <row r="122" spans="1:10" ht="12.75">
      <c r="A122" s="8" t="s">
        <v>750</v>
      </c>
      <c r="B122" s="29" t="s">
        <v>558</v>
      </c>
      <c r="C122" s="29" t="s">
        <v>67</v>
      </c>
      <c r="D122" s="29" t="s">
        <v>36</v>
      </c>
      <c r="E122" s="16"/>
      <c r="F122" s="75"/>
      <c r="G122" s="30">
        <f aca="true" t="shared" si="14" ref="G122:H126">G123</f>
        <v>38</v>
      </c>
      <c r="H122" s="105">
        <f t="shared" si="14"/>
        <v>38</v>
      </c>
      <c r="I122" s="30">
        <f t="shared" si="7"/>
        <v>0</v>
      </c>
      <c r="J122" s="82">
        <f t="shared" si="8"/>
        <v>100</v>
      </c>
    </row>
    <row r="123" spans="1:10" ht="12.75">
      <c r="A123" s="8" t="s">
        <v>324</v>
      </c>
      <c r="B123" s="29" t="s">
        <v>558</v>
      </c>
      <c r="C123" s="29" t="s">
        <v>67</v>
      </c>
      <c r="D123" s="29" t="s">
        <v>70</v>
      </c>
      <c r="E123" s="16"/>
      <c r="F123" s="75"/>
      <c r="G123" s="30">
        <f t="shared" si="14"/>
        <v>38</v>
      </c>
      <c r="H123" s="105">
        <f t="shared" si="14"/>
        <v>38</v>
      </c>
      <c r="I123" s="30">
        <f t="shared" si="7"/>
        <v>0</v>
      </c>
      <c r="J123" s="82">
        <f t="shared" si="8"/>
        <v>100</v>
      </c>
    </row>
    <row r="124" spans="1:10" ht="12.75">
      <c r="A124" s="9" t="s">
        <v>666</v>
      </c>
      <c r="B124" s="13" t="s">
        <v>558</v>
      </c>
      <c r="C124" s="13" t="s">
        <v>67</v>
      </c>
      <c r="D124" s="13" t="s">
        <v>70</v>
      </c>
      <c r="E124" s="13" t="s">
        <v>668</v>
      </c>
      <c r="F124" s="75"/>
      <c r="G124" s="14">
        <f t="shared" si="14"/>
        <v>38</v>
      </c>
      <c r="H124" s="87">
        <f t="shared" si="14"/>
        <v>38</v>
      </c>
      <c r="I124" s="14">
        <f t="shared" si="7"/>
        <v>0</v>
      </c>
      <c r="J124" s="77">
        <f t="shared" si="8"/>
        <v>100</v>
      </c>
    </row>
    <row r="125" spans="1:10" ht="12.75">
      <c r="A125" s="9" t="s">
        <v>747</v>
      </c>
      <c r="B125" s="13" t="s">
        <v>558</v>
      </c>
      <c r="C125" s="13" t="s">
        <v>67</v>
      </c>
      <c r="D125" s="13" t="s">
        <v>70</v>
      </c>
      <c r="E125" s="13" t="s">
        <v>669</v>
      </c>
      <c r="F125" s="75"/>
      <c r="G125" s="14">
        <f t="shared" si="14"/>
        <v>38</v>
      </c>
      <c r="H125" s="87">
        <f t="shared" si="14"/>
        <v>38</v>
      </c>
      <c r="I125" s="14">
        <f t="shared" si="7"/>
        <v>0</v>
      </c>
      <c r="J125" s="77">
        <f t="shared" si="8"/>
        <v>100</v>
      </c>
    </row>
    <row r="126" spans="1:10" ht="25.5">
      <c r="A126" s="9" t="s">
        <v>751</v>
      </c>
      <c r="B126" s="13" t="s">
        <v>558</v>
      </c>
      <c r="C126" s="13" t="s">
        <v>67</v>
      </c>
      <c r="D126" s="13" t="s">
        <v>70</v>
      </c>
      <c r="E126" s="76" t="s">
        <v>752</v>
      </c>
      <c r="F126" s="162" t="s">
        <v>111</v>
      </c>
      <c r="G126" s="14">
        <f t="shared" si="14"/>
        <v>38</v>
      </c>
      <c r="H126" s="87">
        <f t="shared" si="14"/>
        <v>38</v>
      </c>
      <c r="I126" s="14">
        <f t="shared" si="7"/>
        <v>0</v>
      </c>
      <c r="J126" s="77">
        <f t="shared" si="8"/>
        <v>100</v>
      </c>
    </row>
    <row r="127" spans="1:10" ht="12.75">
      <c r="A127" s="9" t="s">
        <v>101</v>
      </c>
      <c r="B127" s="13" t="s">
        <v>558</v>
      </c>
      <c r="C127" s="13" t="s">
        <v>67</v>
      </c>
      <c r="D127" s="13" t="s">
        <v>70</v>
      </c>
      <c r="E127" s="47" t="s">
        <v>752</v>
      </c>
      <c r="F127" s="13" t="s">
        <v>102</v>
      </c>
      <c r="G127" s="14">
        <f>G128+G129</f>
        <v>38</v>
      </c>
      <c r="H127" s="87">
        <f>H128+H129</f>
        <v>38</v>
      </c>
      <c r="I127" s="14">
        <f t="shared" si="7"/>
        <v>0</v>
      </c>
      <c r="J127" s="77">
        <f t="shared" si="8"/>
        <v>100</v>
      </c>
    </row>
    <row r="128" spans="1:10" ht="12.75">
      <c r="A128" s="9" t="s">
        <v>176</v>
      </c>
      <c r="B128" s="13" t="s">
        <v>558</v>
      </c>
      <c r="C128" s="13" t="s">
        <v>67</v>
      </c>
      <c r="D128" s="13" t="s">
        <v>70</v>
      </c>
      <c r="E128" s="47" t="s">
        <v>752</v>
      </c>
      <c r="F128" s="13" t="s">
        <v>103</v>
      </c>
      <c r="G128" s="14">
        <f>27.6+2</f>
        <v>29.6</v>
      </c>
      <c r="H128" s="87">
        <v>29.6</v>
      </c>
      <c r="I128" s="14">
        <f t="shared" si="7"/>
        <v>0</v>
      </c>
      <c r="J128" s="77">
        <f t="shared" si="8"/>
        <v>100</v>
      </c>
    </row>
    <row r="129" spans="1:10" ht="25.5">
      <c r="A129" s="9" t="s">
        <v>178</v>
      </c>
      <c r="B129" s="13" t="s">
        <v>558</v>
      </c>
      <c r="C129" s="13" t="s">
        <v>67</v>
      </c>
      <c r="D129" s="13" t="s">
        <v>70</v>
      </c>
      <c r="E129" s="47" t="s">
        <v>752</v>
      </c>
      <c r="F129" s="13" t="s">
        <v>177</v>
      </c>
      <c r="G129" s="14">
        <v>8.4</v>
      </c>
      <c r="H129" s="87">
        <v>8.4</v>
      </c>
      <c r="I129" s="14">
        <f t="shared" si="7"/>
        <v>0</v>
      </c>
      <c r="J129" s="77">
        <f t="shared" si="8"/>
        <v>100</v>
      </c>
    </row>
    <row r="130" spans="1:10" ht="36" customHeight="1">
      <c r="A130" s="60" t="s">
        <v>4</v>
      </c>
      <c r="B130" s="37" t="s">
        <v>558</v>
      </c>
      <c r="C130" s="29" t="s">
        <v>70</v>
      </c>
      <c r="D130" s="29" t="s">
        <v>36</v>
      </c>
      <c r="E130" s="13"/>
      <c r="F130" s="13"/>
      <c r="G130" s="30">
        <f>G131</f>
        <v>6028.700000000001</v>
      </c>
      <c r="H130" s="105">
        <f>H131</f>
        <v>4532.6</v>
      </c>
      <c r="I130" s="30">
        <f t="shared" si="7"/>
        <v>1496.1000000000004</v>
      </c>
      <c r="J130" s="82">
        <f t="shared" si="8"/>
        <v>75.18370461293479</v>
      </c>
    </row>
    <row r="131" spans="1:10" ht="25.5">
      <c r="A131" s="60" t="s">
        <v>81</v>
      </c>
      <c r="B131" s="37" t="s">
        <v>558</v>
      </c>
      <c r="C131" s="29" t="s">
        <v>70</v>
      </c>
      <c r="D131" s="29" t="s">
        <v>75</v>
      </c>
      <c r="E131" s="13"/>
      <c r="F131" s="13"/>
      <c r="G131" s="30">
        <f>G132+G138+G154+G144</f>
        <v>6028.700000000001</v>
      </c>
      <c r="H131" s="105">
        <f>H132+H138+H154+H144</f>
        <v>4532.6</v>
      </c>
      <c r="I131" s="30">
        <f t="shared" si="7"/>
        <v>1496.1000000000004</v>
      </c>
      <c r="J131" s="82">
        <f t="shared" si="8"/>
        <v>75.18370461293479</v>
      </c>
    </row>
    <row r="132" spans="1:10" ht="38.25">
      <c r="A132" s="46" t="s">
        <v>356</v>
      </c>
      <c r="B132" s="12" t="s">
        <v>558</v>
      </c>
      <c r="C132" s="13" t="s">
        <v>70</v>
      </c>
      <c r="D132" s="13" t="s">
        <v>75</v>
      </c>
      <c r="E132" s="45" t="s">
        <v>193</v>
      </c>
      <c r="F132" s="13"/>
      <c r="G132" s="14">
        <f aca="true" t="shared" si="15" ref="G132:H136">G133</f>
        <v>850</v>
      </c>
      <c r="H132" s="87">
        <f t="shared" si="15"/>
        <v>578.9</v>
      </c>
      <c r="I132" s="14">
        <f t="shared" si="7"/>
        <v>271.1</v>
      </c>
      <c r="J132" s="77">
        <f t="shared" si="8"/>
        <v>68.10588235294117</v>
      </c>
    </row>
    <row r="133" spans="1:10" ht="25.5">
      <c r="A133" s="46" t="s">
        <v>304</v>
      </c>
      <c r="B133" s="12" t="s">
        <v>558</v>
      </c>
      <c r="C133" s="13" t="s">
        <v>70</v>
      </c>
      <c r="D133" s="13" t="s">
        <v>75</v>
      </c>
      <c r="E133" s="45" t="s">
        <v>432</v>
      </c>
      <c r="F133" s="13"/>
      <c r="G133" s="14">
        <f t="shared" si="15"/>
        <v>850</v>
      </c>
      <c r="H133" s="87">
        <f t="shared" si="15"/>
        <v>578.9</v>
      </c>
      <c r="I133" s="14">
        <f t="shared" si="7"/>
        <v>271.1</v>
      </c>
      <c r="J133" s="77">
        <f t="shared" si="8"/>
        <v>68.10588235294117</v>
      </c>
    </row>
    <row r="134" spans="1:10" ht="25.5">
      <c r="A134" s="46" t="s">
        <v>192</v>
      </c>
      <c r="B134" s="12" t="s">
        <v>558</v>
      </c>
      <c r="C134" s="13" t="s">
        <v>70</v>
      </c>
      <c r="D134" s="13" t="s">
        <v>75</v>
      </c>
      <c r="E134" s="45" t="s">
        <v>433</v>
      </c>
      <c r="F134" s="13"/>
      <c r="G134" s="14">
        <f t="shared" si="15"/>
        <v>850</v>
      </c>
      <c r="H134" s="87">
        <f t="shared" si="15"/>
        <v>578.9</v>
      </c>
      <c r="I134" s="14">
        <f t="shared" si="7"/>
        <v>271.1</v>
      </c>
      <c r="J134" s="77">
        <f t="shared" si="8"/>
        <v>68.10588235294117</v>
      </c>
    </row>
    <row r="135" spans="1:10" ht="25.5">
      <c r="A135" s="46" t="s">
        <v>770</v>
      </c>
      <c r="B135" s="12" t="s">
        <v>558</v>
      </c>
      <c r="C135" s="13" t="s">
        <v>70</v>
      </c>
      <c r="D135" s="13" t="s">
        <v>75</v>
      </c>
      <c r="E135" s="45" t="s">
        <v>433</v>
      </c>
      <c r="F135" s="13" t="s">
        <v>113</v>
      </c>
      <c r="G135" s="14">
        <f t="shared" si="15"/>
        <v>850</v>
      </c>
      <c r="H135" s="87">
        <f t="shared" si="15"/>
        <v>578.9</v>
      </c>
      <c r="I135" s="14">
        <f t="shared" si="7"/>
        <v>271.1</v>
      </c>
      <c r="J135" s="77">
        <f t="shared" si="8"/>
        <v>68.10588235294117</v>
      </c>
    </row>
    <row r="136" spans="1:10" ht="25.5">
      <c r="A136" s="46" t="s">
        <v>106</v>
      </c>
      <c r="B136" s="12" t="s">
        <v>558</v>
      </c>
      <c r="C136" s="13" t="s">
        <v>70</v>
      </c>
      <c r="D136" s="13" t="s">
        <v>75</v>
      </c>
      <c r="E136" s="45" t="s">
        <v>433</v>
      </c>
      <c r="F136" s="13" t="s">
        <v>107</v>
      </c>
      <c r="G136" s="14">
        <f t="shared" si="15"/>
        <v>850</v>
      </c>
      <c r="H136" s="87">
        <f t="shared" si="15"/>
        <v>578.9</v>
      </c>
      <c r="I136" s="14">
        <f t="shared" si="7"/>
        <v>271.1</v>
      </c>
      <c r="J136" s="77">
        <f t="shared" si="8"/>
        <v>68.10588235294117</v>
      </c>
    </row>
    <row r="137" spans="1:10" ht="25.5">
      <c r="A137" s="46" t="s">
        <v>108</v>
      </c>
      <c r="B137" s="12" t="s">
        <v>558</v>
      </c>
      <c r="C137" s="13" t="s">
        <v>70</v>
      </c>
      <c r="D137" s="13" t="s">
        <v>75</v>
      </c>
      <c r="E137" s="45" t="s">
        <v>433</v>
      </c>
      <c r="F137" s="13" t="s">
        <v>109</v>
      </c>
      <c r="G137" s="14">
        <f>250+300+300</f>
        <v>850</v>
      </c>
      <c r="H137" s="87">
        <v>578.9</v>
      </c>
      <c r="I137" s="14">
        <f t="shared" si="7"/>
        <v>271.1</v>
      </c>
      <c r="J137" s="77">
        <f t="shared" si="8"/>
        <v>68.10588235294117</v>
      </c>
    </row>
    <row r="138" spans="1:10" ht="12.75">
      <c r="A138" s="46" t="s">
        <v>503</v>
      </c>
      <c r="B138" s="12" t="s">
        <v>558</v>
      </c>
      <c r="C138" s="13" t="s">
        <v>70</v>
      </c>
      <c r="D138" s="13" t="s">
        <v>75</v>
      </c>
      <c r="E138" s="13" t="s">
        <v>252</v>
      </c>
      <c r="F138" s="13"/>
      <c r="G138" s="14">
        <f aca="true" t="shared" si="16" ref="G138:H142">G139</f>
        <v>163</v>
      </c>
      <c r="H138" s="87">
        <f t="shared" si="16"/>
        <v>163</v>
      </c>
      <c r="I138" s="14">
        <f aca="true" t="shared" si="17" ref="I138:I201">G138-H138</f>
        <v>0</v>
      </c>
      <c r="J138" s="77">
        <f aca="true" t="shared" si="18" ref="J138:J201">H138/G138*100</f>
        <v>100</v>
      </c>
    </row>
    <row r="139" spans="1:10" ht="12.75">
      <c r="A139" s="46" t="s">
        <v>504</v>
      </c>
      <c r="B139" s="12" t="s">
        <v>558</v>
      </c>
      <c r="C139" s="13" t="s">
        <v>70</v>
      </c>
      <c r="D139" s="13" t="s">
        <v>75</v>
      </c>
      <c r="E139" s="13" t="s">
        <v>501</v>
      </c>
      <c r="F139" s="13"/>
      <c r="G139" s="14">
        <f t="shared" si="16"/>
        <v>163</v>
      </c>
      <c r="H139" s="87">
        <f t="shared" si="16"/>
        <v>163</v>
      </c>
      <c r="I139" s="14">
        <f t="shared" si="17"/>
        <v>0</v>
      </c>
      <c r="J139" s="77">
        <f t="shared" si="18"/>
        <v>100</v>
      </c>
    </row>
    <row r="140" spans="1:10" ht="45" customHeight="1">
      <c r="A140" s="46" t="s">
        <v>381</v>
      </c>
      <c r="B140" s="12" t="s">
        <v>558</v>
      </c>
      <c r="C140" s="13" t="s">
        <v>70</v>
      </c>
      <c r="D140" s="13" t="s">
        <v>75</v>
      </c>
      <c r="E140" s="13" t="s">
        <v>502</v>
      </c>
      <c r="F140" s="13"/>
      <c r="G140" s="14">
        <f t="shared" si="16"/>
        <v>163</v>
      </c>
      <c r="H140" s="87">
        <f t="shared" si="16"/>
        <v>163</v>
      </c>
      <c r="I140" s="14">
        <f t="shared" si="17"/>
        <v>0</v>
      </c>
      <c r="J140" s="77">
        <f t="shared" si="18"/>
        <v>100</v>
      </c>
    </row>
    <row r="141" spans="1:10" ht="38.25">
      <c r="A141" s="46" t="s">
        <v>110</v>
      </c>
      <c r="B141" s="12" t="s">
        <v>558</v>
      </c>
      <c r="C141" s="13" t="s">
        <v>70</v>
      </c>
      <c r="D141" s="13" t="s">
        <v>75</v>
      </c>
      <c r="E141" s="13" t="s">
        <v>502</v>
      </c>
      <c r="F141" s="13" t="s">
        <v>111</v>
      </c>
      <c r="G141" s="14">
        <f t="shared" si="16"/>
        <v>163</v>
      </c>
      <c r="H141" s="87">
        <f t="shared" si="16"/>
        <v>163</v>
      </c>
      <c r="I141" s="14">
        <f t="shared" si="17"/>
        <v>0</v>
      </c>
      <c r="J141" s="77">
        <f t="shared" si="18"/>
        <v>100</v>
      </c>
    </row>
    <row r="142" spans="1:10" ht="12.75">
      <c r="A142" s="46" t="s">
        <v>406</v>
      </c>
      <c r="B142" s="12" t="s">
        <v>558</v>
      </c>
      <c r="C142" s="13" t="s">
        <v>70</v>
      </c>
      <c r="D142" s="13" t="s">
        <v>75</v>
      </c>
      <c r="E142" s="13" t="s">
        <v>502</v>
      </c>
      <c r="F142" s="13" t="s">
        <v>408</v>
      </c>
      <c r="G142" s="14">
        <f t="shared" si="16"/>
        <v>163</v>
      </c>
      <c r="H142" s="87">
        <f t="shared" si="16"/>
        <v>163</v>
      </c>
      <c r="I142" s="14">
        <f t="shared" si="17"/>
        <v>0</v>
      </c>
      <c r="J142" s="77">
        <f t="shared" si="18"/>
        <v>100</v>
      </c>
    </row>
    <row r="143" spans="1:10" ht="18.75" customHeight="1">
      <c r="A143" s="46" t="s">
        <v>574</v>
      </c>
      <c r="B143" s="12" t="s">
        <v>558</v>
      </c>
      <c r="C143" s="13" t="s">
        <v>70</v>
      </c>
      <c r="D143" s="13" t="s">
        <v>75</v>
      </c>
      <c r="E143" s="13" t="s">
        <v>502</v>
      </c>
      <c r="F143" s="13" t="s">
        <v>407</v>
      </c>
      <c r="G143" s="14">
        <f>150+13</f>
        <v>163</v>
      </c>
      <c r="H143" s="87">
        <v>163</v>
      </c>
      <c r="I143" s="14">
        <f t="shared" si="17"/>
        <v>0</v>
      </c>
      <c r="J143" s="77">
        <f t="shared" si="18"/>
        <v>100</v>
      </c>
    </row>
    <row r="144" spans="1:10" ht="25.5" customHeight="1">
      <c r="A144" s="9" t="s">
        <v>658</v>
      </c>
      <c r="B144" s="12" t="s">
        <v>558</v>
      </c>
      <c r="C144" s="13" t="s">
        <v>70</v>
      </c>
      <c r="D144" s="13" t="s">
        <v>75</v>
      </c>
      <c r="E144" s="13" t="s">
        <v>660</v>
      </c>
      <c r="F144" s="13"/>
      <c r="G144" s="14">
        <f>G145</f>
        <v>970.1</v>
      </c>
      <c r="H144" s="87">
        <f>H145</f>
        <v>970.1</v>
      </c>
      <c r="I144" s="14">
        <f t="shared" si="17"/>
        <v>0</v>
      </c>
      <c r="J144" s="77">
        <f t="shared" si="18"/>
        <v>100</v>
      </c>
    </row>
    <row r="145" spans="1:10" ht="24" customHeight="1">
      <c r="A145" s="9" t="s">
        <v>289</v>
      </c>
      <c r="B145" s="12" t="s">
        <v>558</v>
      </c>
      <c r="C145" s="13" t="s">
        <v>70</v>
      </c>
      <c r="D145" s="13" t="s">
        <v>75</v>
      </c>
      <c r="E145" s="13" t="s">
        <v>661</v>
      </c>
      <c r="F145" s="13"/>
      <c r="G145" s="14">
        <f>G146+G150</f>
        <v>970.1</v>
      </c>
      <c r="H145" s="87">
        <f>H146+H150</f>
        <v>970.1</v>
      </c>
      <c r="I145" s="14">
        <f t="shared" si="17"/>
        <v>0</v>
      </c>
      <c r="J145" s="77">
        <f t="shared" si="18"/>
        <v>100</v>
      </c>
    </row>
    <row r="146" spans="1:10" ht="28.5" customHeight="1">
      <c r="A146" s="9" t="s">
        <v>659</v>
      </c>
      <c r="B146" s="12" t="s">
        <v>558</v>
      </c>
      <c r="C146" s="13" t="s">
        <v>70</v>
      </c>
      <c r="D146" s="13" t="s">
        <v>75</v>
      </c>
      <c r="E146" s="13" t="s">
        <v>662</v>
      </c>
      <c r="F146" s="13"/>
      <c r="G146" s="14">
        <f aca="true" t="shared" si="19" ref="G146:H148">G147</f>
        <v>792</v>
      </c>
      <c r="H146" s="87">
        <f t="shared" si="19"/>
        <v>792</v>
      </c>
      <c r="I146" s="14">
        <f t="shared" si="17"/>
        <v>0</v>
      </c>
      <c r="J146" s="77">
        <f t="shared" si="18"/>
        <v>100</v>
      </c>
    </row>
    <row r="147" spans="1:10" ht="18.75" customHeight="1">
      <c r="A147" s="46" t="s">
        <v>770</v>
      </c>
      <c r="B147" s="12" t="s">
        <v>558</v>
      </c>
      <c r="C147" s="13" t="s">
        <v>70</v>
      </c>
      <c r="D147" s="13" t="s">
        <v>75</v>
      </c>
      <c r="E147" s="13" t="s">
        <v>662</v>
      </c>
      <c r="F147" s="13" t="s">
        <v>113</v>
      </c>
      <c r="G147" s="14">
        <f t="shared" si="19"/>
        <v>792</v>
      </c>
      <c r="H147" s="87">
        <f t="shared" si="19"/>
        <v>792</v>
      </c>
      <c r="I147" s="14">
        <f t="shared" si="17"/>
        <v>0</v>
      </c>
      <c r="J147" s="77">
        <f t="shared" si="18"/>
        <v>100</v>
      </c>
    </row>
    <row r="148" spans="1:10" ht="27" customHeight="1">
      <c r="A148" s="9" t="s">
        <v>106</v>
      </c>
      <c r="B148" s="12" t="s">
        <v>558</v>
      </c>
      <c r="C148" s="13" t="s">
        <v>70</v>
      </c>
      <c r="D148" s="13" t="s">
        <v>75</v>
      </c>
      <c r="E148" s="13" t="s">
        <v>662</v>
      </c>
      <c r="F148" s="13" t="s">
        <v>107</v>
      </c>
      <c r="G148" s="14">
        <f t="shared" si="19"/>
        <v>792</v>
      </c>
      <c r="H148" s="87">
        <f t="shared" si="19"/>
        <v>792</v>
      </c>
      <c r="I148" s="14">
        <f t="shared" si="17"/>
        <v>0</v>
      </c>
      <c r="J148" s="77">
        <f t="shared" si="18"/>
        <v>100</v>
      </c>
    </row>
    <row r="149" spans="1:10" ht="27.75" customHeight="1">
      <c r="A149" s="9" t="s">
        <v>108</v>
      </c>
      <c r="B149" s="12" t="s">
        <v>558</v>
      </c>
      <c r="C149" s="13" t="s">
        <v>70</v>
      </c>
      <c r="D149" s="13" t="s">
        <v>75</v>
      </c>
      <c r="E149" s="13" t="s">
        <v>662</v>
      </c>
      <c r="F149" s="13" t="s">
        <v>109</v>
      </c>
      <c r="G149" s="14">
        <f>260+532</f>
        <v>792</v>
      </c>
      <c r="H149" s="87">
        <v>792</v>
      </c>
      <c r="I149" s="14">
        <f t="shared" si="17"/>
        <v>0</v>
      </c>
      <c r="J149" s="77">
        <f t="shared" si="18"/>
        <v>100</v>
      </c>
    </row>
    <row r="150" spans="1:10" ht="22.5" customHeight="1">
      <c r="A150" s="9" t="s">
        <v>627</v>
      </c>
      <c r="B150" s="13" t="s">
        <v>558</v>
      </c>
      <c r="C150" s="13" t="s">
        <v>70</v>
      </c>
      <c r="D150" s="13" t="s">
        <v>75</v>
      </c>
      <c r="E150" s="13" t="s">
        <v>737</v>
      </c>
      <c r="F150" s="13"/>
      <c r="G150" s="14">
        <f aca="true" t="shared" si="20" ref="G150:H152">G151</f>
        <v>178.1</v>
      </c>
      <c r="H150" s="87">
        <f t="shared" si="20"/>
        <v>178.1</v>
      </c>
      <c r="I150" s="14">
        <f t="shared" si="17"/>
        <v>0</v>
      </c>
      <c r="J150" s="77">
        <f t="shared" si="18"/>
        <v>100</v>
      </c>
    </row>
    <row r="151" spans="1:10" ht="21" customHeight="1">
      <c r="A151" s="9" t="s">
        <v>137</v>
      </c>
      <c r="B151" s="13" t="s">
        <v>558</v>
      </c>
      <c r="C151" s="13" t="s">
        <v>70</v>
      </c>
      <c r="D151" s="13" t="s">
        <v>75</v>
      </c>
      <c r="E151" s="13" t="s">
        <v>737</v>
      </c>
      <c r="F151" s="13" t="s">
        <v>138</v>
      </c>
      <c r="G151" s="14">
        <f t="shared" si="20"/>
        <v>178.1</v>
      </c>
      <c r="H151" s="87">
        <f t="shared" si="20"/>
        <v>178.1</v>
      </c>
      <c r="I151" s="14">
        <f t="shared" si="17"/>
        <v>0</v>
      </c>
      <c r="J151" s="77">
        <f t="shared" si="18"/>
        <v>100</v>
      </c>
    </row>
    <row r="152" spans="1:10" ht="19.5" customHeight="1">
      <c r="A152" s="9" t="s">
        <v>611</v>
      </c>
      <c r="B152" s="13" t="s">
        <v>558</v>
      </c>
      <c r="C152" s="13" t="s">
        <v>70</v>
      </c>
      <c r="D152" s="13" t="s">
        <v>75</v>
      </c>
      <c r="E152" s="13" t="s">
        <v>737</v>
      </c>
      <c r="F152" s="13" t="s">
        <v>612</v>
      </c>
      <c r="G152" s="14">
        <f t="shared" si="20"/>
        <v>178.1</v>
      </c>
      <c r="H152" s="87">
        <f t="shared" si="20"/>
        <v>178.1</v>
      </c>
      <c r="I152" s="14">
        <f t="shared" si="17"/>
        <v>0</v>
      </c>
      <c r="J152" s="77">
        <f t="shared" si="18"/>
        <v>100</v>
      </c>
    </row>
    <row r="153" spans="1:10" ht="72.75" customHeight="1">
      <c r="A153" s="9" t="s">
        <v>629</v>
      </c>
      <c r="B153" s="13" t="s">
        <v>558</v>
      </c>
      <c r="C153" s="13" t="s">
        <v>70</v>
      </c>
      <c r="D153" s="13" t="s">
        <v>75</v>
      </c>
      <c r="E153" s="13" t="s">
        <v>737</v>
      </c>
      <c r="F153" s="13" t="s">
        <v>613</v>
      </c>
      <c r="G153" s="14">
        <f>123.1+55</f>
        <v>178.1</v>
      </c>
      <c r="H153" s="87">
        <v>178.1</v>
      </c>
      <c r="I153" s="14">
        <f t="shared" si="17"/>
        <v>0</v>
      </c>
      <c r="J153" s="77">
        <f t="shared" si="18"/>
        <v>100</v>
      </c>
    </row>
    <row r="154" spans="1:10" ht="25.5">
      <c r="A154" s="46" t="s">
        <v>90</v>
      </c>
      <c r="B154" s="12" t="s">
        <v>558</v>
      </c>
      <c r="C154" s="13" t="s">
        <v>70</v>
      </c>
      <c r="D154" s="13" t="s">
        <v>75</v>
      </c>
      <c r="E154" s="13" t="s">
        <v>256</v>
      </c>
      <c r="F154" s="13"/>
      <c r="G154" s="14">
        <f>G155</f>
        <v>4045.6000000000004</v>
      </c>
      <c r="H154" s="87">
        <f>H155</f>
        <v>2820.6</v>
      </c>
      <c r="I154" s="14">
        <f t="shared" si="17"/>
        <v>1225.0000000000005</v>
      </c>
      <c r="J154" s="77">
        <f t="shared" si="18"/>
        <v>69.72018983587105</v>
      </c>
    </row>
    <row r="155" spans="1:10" ht="25.5">
      <c r="A155" s="46" t="s">
        <v>289</v>
      </c>
      <c r="B155" s="12" t="s">
        <v>558</v>
      </c>
      <c r="C155" s="13" t="s">
        <v>70</v>
      </c>
      <c r="D155" s="13" t="s">
        <v>75</v>
      </c>
      <c r="E155" s="13" t="s">
        <v>541</v>
      </c>
      <c r="F155" s="13"/>
      <c r="G155" s="14">
        <f>G156</f>
        <v>4045.6000000000004</v>
      </c>
      <c r="H155" s="87">
        <f>H156</f>
        <v>2820.6</v>
      </c>
      <c r="I155" s="14">
        <f t="shared" si="17"/>
        <v>1225.0000000000005</v>
      </c>
      <c r="J155" s="77">
        <f t="shared" si="18"/>
        <v>69.72018983587105</v>
      </c>
    </row>
    <row r="156" spans="1:10" ht="12.75">
      <c r="A156" s="46" t="s">
        <v>540</v>
      </c>
      <c r="B156" s="12" t="s">
        <v>558</v>
      </c>
      <c r="C156" s="13" t="s">
        <v>70</v>
      </c>
      <c r="D156" s="13" t="s">
        <v>75</v>
      </c>
      <c r="E156" s="13" t="s">
        <v>546</v>
      </c>
      <c r="F156" s="13"/>
      <c r="G156" s="14">
        <f>G157+G161</f>
        <v>4045.6000000000004</v>
      </c>
      <c r="H156" s="87">
        <f>H157+H161</f>
        <v>2820.6</v>
      </c>
      <c r="I156" s="14">
        <f t="shared" si="17"/>
        <v>1225.0000000000005</v>
      </c>
      <c r="J156" s="77">
        <f t="shared" si="18"/>
        <v>69.72018983587105</v>
      </c>
    </row>
    <row r="157" spans="1:10" ht="38.25">
      <c r="A157" s="46" t="s">
        <v>110</v>
      </c>
      <c r="B157" s="12" t="s">
        <v>558</v>
      </c>
      <c r="C157" s="13" t="s">
        <v>70</v>
      </c>
      <c r="D157" s="13" t="s">
        <v>75</v>
      </c>
      <c r="E157" s="13" t="s">
        <v>546</v>
      </c>
      <c r="F157" s="13" t="s">
        <v>111</v>
      </c>
      <c r="G157" s="14">
        <f>G158</f>
        <v>3757.3</v>
      </c>
      <c r="H157" s="87">
        <f>H158</f>
        <v>2615.9</v>
      </c>
      <c r="I157" s="14">
        <f t="shared" si="17"/>
        <v>1141.4</v>
      </c>
      <c r="J157" s="77">
        <f t="shared" si="18"/>
        <v>69.6218028903734</v>
      </c>
    </row>
    <row r="158" spans="1:10" ht="12.75">
      <c r="A158" s="46" t="s">
        <v>406</v>
      </c>
      <c r="B158" s="12" t="s">
        <v>558</v>
      </c>
      <c r="C158" s="13" t="s">
        <v>70</v>
      </c>
      <c r="D158" s="13" t="s">
        <v>75</v>
      </c>
      <c r="E158" s="13" t="s">
        <v>546</v>
      </c>
      <c r="F158" s="13" t="s">
        <v>408</v>
      </c>
      <c r="G158" s="14">
        <f>G159+G160</f>
        <v>3757.3</v>
      </c>
      <c r="H158" s="87">
        <f>H159+H160</f>
        <v>2615.9</v>
      </c>
      <c r="I158" s="14">
        <f t="shared" si="17"/>
        <v>1141.4</v>
      </c>
      <c r="J158" s="77">
        <f t="shared" si="18"/>
        <v>69.6218028903734</v>
      </c>
    </row>
    <row r="159" spans="1:10" ht="12.75">
      <c r="A159" s="46" t="s">
        <v>573</v>
      </c>
      <c r="B159" s="12" t="s">
        <v>558</v>
      </c>
      <c r="C159" s="13" t="s">
        <v>70</v>
      </c>
      <c r="D159" s="13" t="s">
        <v>75</v>
      </c>
      <c r="E159" s="13" t="s">
        <v>546</v>
      </c>
      <c r="F159" s="13" t="s">
        <v>409</v>
      </c>
      <c r="G159" s="14">
        <f>2897</f>
        <v>2897</v>
      </c>
      <c r="H159" s="87">
        <v>2021</v>
      </c>
      <c r="I159" s="14">
        <f t="shared" si="17"/>
        <v>876</v>
      </c>
      <c r="J159" s="77">
        <f t="shared" si="18"/>
        <v>69.76182257507767</v>
      </c>
    </row>
    <row r="160" spans="1:10" ht="28.5" customHeight="1">
      <c r="A160" s="46" t="s">
        <v>575</v>
      </c>
      <c r="B160" s="12" t="s">
        <v>558</v>
      </c>
      <c r="C160" s="13" t="s">
        <v>70</v>
      </c>
      <c r="D160" s="13" t="s">
        <v>75</v>
      </c>
      <c r="E160" s="13" t="s">
        <v>546</v>
      </c>
      <c r="F160" s="13" t="s">
        <v>410</v>
      </c>
      <c r="G160" s="14">
        <f>860.3</f>
        <v>860.3</v>
      </c>
      <c r="H160" s="87">
        <v>594.9</v>
      </c>
      <c r="I160" s="14">
        <f t="shared" si="17"/>
        <v>265.4</v>
      </c>
      <c r="J160" s="77">
        <f t="shared" si="18"/>
        <v>69.15029640822968</v>
      </c>
    </row>
    <row r="161" spans="1:10" ht="15" customHeight="1">
      <c r="A161" s="46" t="s">
        <v>770</v>
      </c>
      <c r="B161" s="12" t="s">
        <v>558</v>
      </c>
      <c r="C161" s="13" t="s">
        <v>70</v>
      </c>
      <c r="D161" s="13" t="s">
        <v>75</v>
      </c>
      <c r="E161" s="13" t="s">
        <v>546</v>
      </c>
      <c r="F161" s="13" t="s">
        <v>113</v>
      </c>
      <c r="G161" s="14">
        <f>G162</f>
        <v>288.3</v>
      </c>
      <c r="H161" s="87">
        <f>H162</f>
        <v>204.7</v>
      </c>
      <c r="I161" s="14">
        <f t="shared" si="17"/>
        <v>83.60000000000002</v>
      </c>
      <c r="J161" s="77">
        <f t="shared" si="18"/>
        <v>71.00242802636141</v>
      </c>
    </row>
    <row r="162" spans="1:10" ht="25.5">
      <c r="A162" s="46" t="s">
        <v>106</v>
      </c>
      <c r="B162" s="12" t="s">
        <v>558</v>
      </c>
      <c r="C162" s="13" t="s">
        <v>70</v>
      </c>
      <c r="D162" s="13" t="s">
        <v>75</v>
      </c>
      <c r="E162" s="13" t="s">
        <v>546</v>
      </c>
      <c r="F162" s="13" t="s">
        <v>107</v>
      </c>
      <c r="G162" s="14">
        <f>G163</f>
        <v>288.3</v>
      </c>
      <c r="H162" s="87">
        <f>H163</f>
        <v>204.7</v>
      </c>
      <c r="I162" s="14">
        <f t="shared" si="17"/>
        <v>83.60000000000002</v>
      </c>
      <c r="J162" s="77">
        <f t="shared" si="18"/>
        <v>71.00242802636141</v>
      </c>
    </row>
    <row r="163" spans="1:10" ht="25.5">
      <c r="A163" s="46" t="s">
        <v>108</v>
      </c>
      <c r="B163" s="12" t="s">
        <v>558</v>
      </c>
      <c r="C163" s="13" t="s">
        <v>70</v>
      </c>
      <c r="D163" s="13" t="s">
        <v>75</v>
      </c>
      <c r="E163" s="13" t="s">
        <v>546</v>
      </c>
      <c r="F163" s="13" t="s">
        <v>109</v>
      </c>
      <c r="G163" s="14">
        <f>113.3+55+120</f>
        <v>288.3</v>
      </c>
      <c r="H163" s="87">
        <v>204.7</v>
      </c>
      <c r="I163" s="14">
        <f t="shared" si="17"/>
        <v>83.60000000000002</v>
      </c>
      <c r="J163" s="77">
        <f t="shared" si="18"/>
        <v>71.00242802636141</v>
      </c>
    </row>
    <row r="164" spans="1:10" ht="12.75" hidden="1">
      <c r="A164" s="46"/>
      <c r="B164" s="12" t="s">
        <v>558</v>
      </c>
      <c r="C164" s="13" t="s">
        <v>70</v>
      </c>
      <c r="D164" s="13" t="s">
        <v>75</v>
      </c>
      <c r="E164" s="13" t="s">
        <v>546</v>
      </c>
      <c r="F164" s="13"/>
      <c r="G164" s="14"/>
      <c r="H164" s="87"/>
      <c r="I164" s="14">
        <f t="shared" si="17"/>
        <v>0</v>
      </c>
      <c r="J164" s="77" t="e">
        <f t="shared" si="18"/>
        <v>#DIV/0!</v>
      </c>
    </row>
    <row r="165" spans="1:10" ht="12.75" hidden="1">
      <c r="A165" s="46"/>
      <c r="B165" s="12"/>
      <c r="C165" s="13"/>
      <c r="D165" s="13"/>
      <c r="E165" s="13"/>
      <c r="F165" s="13"/>
      <c r="G165" s="14"/>
      <c r="H165" s="87"/>
      <c r="I165" s="14">
        <f t="shared" si="17"/>
        <v>0</v>
      </c>
      <c r="J165" s="77" t="e">
        <f t="shared" si="18"/>
        <v>#DIV/0!</v>
      </c>
    </row>
    <row r="166" spans="1:10" ht="12.75" hidden="1">
      <c r="A166" s="46"/>
      <c r="B166" s="12"/>
      <c r="C166" s="13"/>
      <c r="D166" s="13"/>
      <c r="E166" s="13"/>
      <c r="F166" s="13"/>
      <c r="G166" s="14"/>
      <c r="H166" s="87"/>
      <c r="I166" s="14">
        <f t="shared" si="17"/>
        <v>0</v>
      </c>
      <c r="J166" s="77" t="e">
        <f t="shared" si="18"/>
        <v>#DIV/0!</v>
      </c>
    </row>
    <row r="167" spans="1:10" ht="12.75" hidden="1">
      <c r="A167" s="46"/>
      <c r="B167" s="12"/>
      <c r="C167" s="13"/>
      <c r="D167" s="13"/>
      <c r="E167" s="13"/>
      <c r="F167" s="13"/>
      <c r="G167" s="14"/>
      <c r="H167" s="87"/>
      <c r="I167" s="14">
        <f t="shared" si="17"/>
        <v>0</v>
      </c>
      <c r="J167" s="77" t="e">
        <f t="shared" si="18"/>
        <v>#DIV/0!</v>
      </c>
    </row>
    <row r="168" spans="1:10" ht="12.75" hidden="1">
      <c r="A168" s="46"/>
      <c r="B168" s="12"/>
      <c r="C168" s="13"/>
      <c r="D168" s="13"/>
      <c r="E168" s="13"/>
      <c r="F168" s="13"/>
      <c r="G168" s="14"/>
      <c r="H168" s="87"/>
      <c r="I168" s="14">
        <f t="shared" si="17"/>
        <v>0</v>
      </c>
      <c r="J168" s="77" t="e">
        <f t="shared" si="18"/>
        <v>#DIV/0!</v>
      </c>
    </row>
    <row r="169" spans="1:10" ht="17.25" customHeight="1">
      <c r="A169" s="60" t="s">
        <v>247</v>
      </c>
      <c r="B169" s="37" t="s">
        <v>558</v>
      </c>
      <c r="C169" s="37" t="s">
        <v>68</v>
      </c>
      <c r="D169" s="37" t="s">
        <v>36</v>
      </c>
      <c r="E169" s="29"/>
      <c r="F169" s="29"/>
      <c r="G169" s="30">
        <f>G178+G170+G206+G196</f>
        <v>144642.40000000002</v>
      </c>
      <c r="H169" s="105">
        <f>H178+H170+H206+H196</f>
        <v>144345.80000000002</v>
      </c>
      <c r="I169" s="30">
        <f t="shared" si="17"/>
        <v>296.6000000000058</v>
      </c>
      <c r="J169" s="82">
        <f t="shared" si="18"/>
        <v>99.79494256179377</v>
      </c>
    </row>
    <row r="170" spans="1:10" ht="12.75">
      <c r="A170" s="73" t="s">
        <v>80</v>
      </c>
      <c r="B170" s="37" t="s">
        <v>558</v>
      </c>
      <c r="C170" s="29" t="s">
        <v>68</v>
      </c>
      <c r="D170" s="29" t="s">
        <v>72</v>
      </c>
      <c r="E170" s="29"/>
      <c r="F170" s="29"/>
      <c r="G170" s="30">
        <f aca="true" t="shared" si="21" ref="G170:H176">G171</f>
        <v>308.2</v>
      </c>
      <c r="H170" s="105">
        <f t="shared" si="21"/>
        <v>66.7</v>
      </c>
      <c r="I170" s="30">
        <f t="shared" si="17"/>
        <v>241.5</v>
      </c>
      <c r="J170" s="82">
        <f t="shared" si="18"/>
        <v>21.64179104477612</v>
      </c>
    </row>
    <row r="171" spans="1:10" ht="25.5">
      <c r="A171" s="9" t="s">
        <v>748</v>
      </c>
      <c r="B171" s="12" t="s">
        <v>558</v>
      </c>
      <c r="C171" s="13" t="s">
        <v>68</v>
      </c>
      <c r="D171" s="13" t="s">
        <v>72</v>
      </c>
      <c r="E171" s="13" t="s">
        <v>712</v>
      </c>
      <c r="F171" s="29"/>
      <c r="G171" s="14">
        <f t="shared" si="21"/>
        <v>308.2</v>
      </c>
      <c r="H171" s="87">
        <f t="shared" si="21"/>
        <v>66.7</v>
      </c>
      <c r="I171" s="14">
        <f t="shared" si="17"/>
        <v>241.5</v>
      </c>
      <c r="J171" s="77">
        <f t="shared" si="18"/>
        <v>21.64179104477612</v>
      </c>
    </row>
    <row r="172" spans="1:10" ht="25.5">
      <c r="A172" s="9" t="s">
        <v>713</v>
      </c>
      <c r="B172" s="12" t="s">
        <v>558</v>
      </c>
      <c r="C172" s="13" t="s">
        <v>68</v>
      </c>
      <c r="D172" s="13" t="s">
        <v>72</v>
      </c>
      <c r="E172" s="13" t="s">
        <v>714</v>
      </c>
      <c r="F172" s="29"/>
      <c r="G172" s="14">
        <f t="shared" si="21"/>
        <v>308.2</v>
      </c>
      <c r="H172" s="87">
        <f t="shared" si="21"/>
        <v>66.7</v>
      </c>
      <c r="I172" s="14">
        <f t="shared" si="17"/>
        <v>241.5</v>
      </c>
      <c r="J172" s="77">
        <f t="shared" si="18"/>
        <v>21.64179104477612</v>
      </c>
    </row>
    <row r="173" spans="1:10" ht="25.5">
      <c r="A173" s="9" t="s">
        <v>715</v>
      </c>
      <c r="B173" s="12" t="s">
        <v>558</v>
      </c>
      <c r="C173" s="13" t="s">
        <v>68</v>
      </c>
      <c r="D173" s="13" t="s">
        <v>72</v>
      </c>
      <c r="E173" s="13" t="s">
        <v>716</v>
      </c>
      <c r="F173" s="29"/>
      <c r="G173" s="14">
        <f t="shared" si="21"/>
        <v>308.2</v>
      </c>
      <c r="H173" s="87">
        <f t="shared" si="21"/>
        <v>66.7</v>
      </c>
      <c r="I173" s="14">
        <f t="shared" si="17"/>
        <v>241.5</v>
      </c>
      <c r="J173" s="77">
        <f t="shared" si="18"/>
        <v>21.64179104477612</v>
      </c>
    </row>
    <row r="174" spans="1:10" ht="12.75">
      <c r="A174" s="9" t="s">
        <v>717</v>
      </c>
      <c r="B174" s="12" t="s">
        <v>558</v>
      </c>
      <c r="C174" s="13" t="s">
        <v>68</v>
      </c>
      <c r="D174" s="13" t="s">
        <v>72</v>
      </c>
      <c r="E174" s="13" t="s">
        <v>718</v>
      </c>
      <c r="F174" s="29"/>
      <c r="G174" s="14">
        <f t="shared" si="21"/>
        <v>308.2</v>
      </c>
      <c r="H174" s="87">
        <f t="shared" si="21"/>
        <v>66.7</v>
      </c>
      <c r="I174" s="14">
        <f t="shared" si="17"/>
        <v>241.5</v>
      </c>
      <c r="J174" s="77">
        <f t="shared" si="18"/>
        <v>21.64179104477612</v>
      </c>
    </row>
    <row r="175" spans="1:10" ht="25.5">
      <c r="A175" s="46" t="s">
        <v>770</v>
      </c>
      <c r="B175" s="12" t="s">
        <v>558</v>
      </c>
      <c r="C175" s="13" t="s">
        <v>68</v>
      </c>
      <c r="D175" s="13" t="s">
        <v>72</v>
      </c>
      <c r="E175" s="13" t="s">
        <v>718</v>
      </c>
      <c r="F175" s="13" t="s">
        <v>113</v>
      </c>
      <c r="G175" s="14">
        <f t="shared" si="21"/>
        <v>308.2</v>
      </c>
      <c r="H175" s="87">
        <f t="shared" si="21"/>
        <v>66.7</v>
      </c>
      <c r="I175" s="14">
        <f t="shared" si="17"/>
        <v>241.5</v>
      </c>
      <c r="J175" s="77">
        <f t="shared" si="18"/>
        <v>21.64179104477612</v>
      </c>
    </row>
    <row r="176" spans="1:10" ht="25.5">
      <c r="A176" s="9" t="s">
        <v>106</v>
      </c>
      <c r="B176" s="12" t="s">
        <v>558</v>
      </c>
      <c r="C176" s="13" t="s">
        <v>68</v>
      </c>
      <c r="D176" s="13" t="s">
        <v>72</v>
      </c>
      <c r="E176" s="13" t="s">
        <v>718</v>
      </c>
      <c r="F176" s="13" t="s">
        <v>107</v>
      </c>
      <c r="G176" s="14">
        <f t="shared" si="21"/>
        <v>308.2</v>
      </c>
      <c r="H176" s="87">
        <f t="shared" si="21"/>
        <v>66.7</v>
      </c>
      <c r="I176" s="14">
        <f t="shared" si="17"/>
        <v>241.5</v>
      </c>
      <c r="J176" s="77">
        <f t="shared" si="18"/>
        <v>21.64179104477612</v>
      </c>
    </row>
    <row r="177" spans="1:10" ht="25.5">
      <c r="A177" s="9" t="s">
        <v>108</v>
      </c>
      <c r="B177" s="12" t="s">
        <v>558</v>
      </c>
      <c r="C177" s="13" t="s">
        <v>68</v>
      </c>
      <c r="D177" s="13" t="s">
        <v>72</v>
      </c>
      <c r="E177" s="13" t="s">
        <v>718</v>
      </c>
      <c r="F177" s="13" t="s">
        <v>109</v>
      </c>
      <c r="G177" s="14">
        <f>66.7+295.9-54.4</f>
        <v>308.2</v>
      </c>
      <c r="H177" s="87">
        <v>66.7</v>
      </c>
      <c r="I177" s="14">
        <f t="shared" si="17"/>
        <v>241.5</v>
      </c>
      <c r="J177" s="77">
        <f t="shared" si="18"/>
        <v>21.64179104477612</v>
      </c>
    </row>
    <row r="178" spans="1:10" ht="12.75">
      <c r="A178" s="60" t="s">
        <v>579</v>
      </c>
      <c r="B178" s="37" t="s">
        <v>558</v>
      </c>
      <c r="C178" s="37" t="s">
        <v>68</v>
      </c>
      <c r="D178" s="37" t="s">
        <v>76</v>
      </c>
      <c r="E178" s="29"/>
      <c r="F178" s="29"/>
      <c r="G178" s="30">
        <f>G179+G190</f>
        <v>143106.2</v>
      </c>
      <c r="H178" s="105">
        <f>H179+H190</f>
        <v>143106.1</v>
      </c>
      <c r="I178" s="30">
        <f t="shared" si="17"/>
        <v>0.10000000000582077</v>
      </c>
      <c r="J178" s="82">
        <f t="shared" si="18"/>
        <v>99.99993012182561</v>
      </c>
    </row>
    <row r="179" spans="1:10" ht="25.5">
      <c r="A179" s="46" t="s">
        <v>580</v>
      </c>
      <c r="B179" s="13" t="s">
        <v>558</v>
      </c>
      <c r="C179" s="12" t="s">
        <v>68</v>
      </c>
      <c r="D179" s="12" t="s">
        <v>76</v>
      </c>
      <c r="E179" s="13" t="s">
        <v>581</v>
      </c>
      <c r="F179" s="29"/>
      <c r="G179" s="14">
        <f>G180</f>
        <v>142906.2</v>
      </c>
      <c r="H179" s="87">
        <f>H180</f>
        <v>142906.1</v>
      </c>
      <c r="I179" s="14">
        <f t="shared" si="17"/>
        <v>0.10000000000582077</v>
      </c>
      <c r="J179" s="77">
        <f t="shared" si="18"/>
        <v>99.99993002402975</v>
      </c>
    </row>
    <row r="180" spans="1:10" ht="25.5">
      <c r="A180" s="46" t="s">
        <v>582</v>
      </c>
      <c r="B180" s="13" t="s">
        <v>558</v>
      </c>
      <c r="C180" s="12" t="s">
        <v>68</v>
      </c>
      <c r="D180" s="12" t="s">
        <v>76</v>
      </c>
      <c r="E180" s="13" t="s">
        <v>583</v>
      </c>
      <c r="F180" s="29"/>
      <c r="G180" s="14">
        <f>G181</f>
        <v>142906.2</v>
      </c>
      <c r="H180" s="87">
        <f>H181</f>
        <v>142906.1</v>
      </c>
      <c r="I180" s="14">
        <f t="shared" si="17"/>
        <v>0.10000000000582077</v>
      </c>
      <c r="J180" s="77">
        <f t="shared" si="18"/>
        <v>99.99993002402975</v>
      </c>
    </row>
    <row r="181" spans="1:10" ht="25.5">
      <c r="A181" s="46" t="s">
        <v>584</v>
      </c>
      <c r="B181" s="13" t="s">
        <v>558</v>
      </c>
      <c r="C181" s="12" t="s">
        <v>68</v>
      </c>
      <c r="D181" s="12" t="s">
        <v>76</v>
      </c>
      <c r="E181" s="13" t="s">
        <v>585</v>
      </c>
      <c r="F181" s="29"/>
      <c r="G181" s="14">
        <f>G186+G182</f>
        <v>142906.2</v>
      </c>
      <c r="H181" s="87">
        <f>H186+H182</f>
        <v>142906.1</v>
      </c>
      <c r="I181" s="14">
        <f t="shared" si="17"/>
        <v>0.10000000000582077</v>
      </c>
      <c r="J181" s="77">
        <f t="shared" si="18"/>
        <v>99.99993002402975</v>
      </c>
    </row>
    <row r="182" spans="1:10" ht="25.5">
      <c r="A182" s="9" t="s">
        <v>623</v>
      </c>
      <c r="B182" s="13" t="s">
        <v>558</v>
      </c>
      <c r="C182" s="12" t="s">
        <v>68</v>
      </c>
      <c r="D182" s="12" t="s">
        <v>76</v>
      </c>
      <c r="E182" s="13" t="s">
        <v>624</v>
      </c>
      <c r="F182" s="29"/>
      <c r="G182" s="14">
        <f aca="true" t="shared" si="22" ref="G182:H184">G183</f>
        <v>119212</v>
      </c>
      <c r="H182" s="87">
        <f t="shared" si="22"/>
        <v>119212</v>
      </c>
      <c r="I182" s="14">
        <f t="shared" si="17"/>
        <v>0</v>
      </c>
      <c r="J182" s="77">
        <f t="shared" si="18"/>
        <v>100</v>
      </c>
    </row>
    <row r="183" spans="1:10" ht="12.75">
      <c r="A183" s="9" t="s">
        <v>632</v>
      </c>
      <c r="B183" s="13" t="s">
        <v>558</v>
      </c>
      <c r="C183" s="12" t="s">
        <v>68</v>
      </c>
      <c r="D183" s="12" t="s">
        <v>76</v>
      </c>
      <c r="E183" s="13" t="s">
        <v>624</v>
      </c>
      <c r="F183" s="13" t="s">
        <v>634</v>
      </c>
      <c r="G183" s="14">
        <f t="shared" si="22"/>
        <v>119212</v>
      </c>
      <c r="H183" s="87">
        <f t="shared" si="22"/>
        <v>119212</v>
      </c>
      <c r="I183" s="14">
        <f t="shared" si="17"/>
        <v>0</v>
      </c>
      <c r="J183" s="77">
        <f t="shared" si="18"/>
        <v>100</v>
      </c>
    </row>
    <row r="184" spans="1:10" ht="12.75">
      <c r="A184" s="9" t="s">
        <v>633</v>
      </c>
      <c r="B184" s="13" t="s">
        <v>558</v>
      </c>
      <c r="C184" s="12" t="s">
        <v>68</v>
      </c>
      <c r="D184" s="12" t="s">
        <v>76</v>
      </c>
      <c r="E184" s="13" t="s">
        <v>624</v>
      </c>
      <c r="F184" s="13" t="s">
        <v>635</v>
      </c>
      <c r="G184" s="14">
        <f t="shared" si="22"/>
        <v>119212</v>
      </c>
      <c r="H184" s="87">
        <f t="shared" si="22"/>
        <v>119212</v>
      </c>
      <c r="I184" s="14">
        <f t="shared" si="17"/>
        <v>0</v>
      </c>
      <c r="J184" s="77">
        <f t="shared" si="18"/>
        <v>100</v>
      </c>
    </row>
    <row r="185" spans="1:10" ht="25.5">
      <c r="A185" s="9" t="s">
        <v>733</v>
      </c>
      <c r="B185" s="13" t="s">
        <v>558</v>
      </c>
      <c r="C185" s="12" t="s">
        <v>68</v>
      </c>
      <c r="D185" s="12" t="s">
        <v>76</v>
      </c>
      <c r="E185" s="13" t="s">
        <v>624</v>
      </c>
      <c r="F185" s="13" t="s">
        <v>636</v>
      </c>
      <c r="G185" s="14">
        <f>23973.2+95238.8</f>
        <v>119212</v>
      </c>
      <c r="H185" s="87">
        <v>119212</v>
      </c>
      <c r="I185" s="14">
        <f t="shared" si="17"/>
        <v>0</v>
      </c>
      <c r="J185" s="77">
        <f t="shared" si="18"/>
        <v>100</v>
      </c>
    </row>
    <row r="186" spans="1:10" ht="38.25">
      <c r="A186" s="46" t="s">
        <v>614</v>
      </c>
      <c r="B186" s="13" t="s">
        <v>558</v>
      </c>
      <c r="C186" s="12" t="s">
        <v>68</v>
      </c>
      <c r="D186" s="12" t="s">
        <v>76</v>
      </c>
      <c r="E186" s="13" t="s">
        <v>586</v>
      </c>
      <c r="F186" s="29"/>
      <c r="G186" s="14">
        <f aca="true" t="shared" si="23" ref="G186:H188">G187</f>
        <v>23694.2</v>
      </c>
      <c r="H186" s="87">
        <f t="shared" si="23"/>
        <v>23694.1</v>
      </c>
      <c r="I186" s="14">
        <f t="shared" si="17"/>
        <v>0.10000000000218279</v>
      </c>
      <c r="J186" s="77">
        <f t="shared" si="18"/>
        <v>99.99957795578663</v>
      </c>
    </row>
    <row r="187" spans="1:10" ht="12.75">
      <c r="A187" s="9" t="s">
        <v>632</v>
      </c>
      <c r="B187" s="13" t="s">
        <v>558</v>
      </c>
      <c r="C187" s="12" t="s">
        <v>68</v>
      </c>
      <c r="D187" s="12" t="s">
        <v>76</v>
      </c>
      <c r="E187" s="13" t="s">
        <v>586</v>
      </c>
      <c r="F187" s="13" t="s">
        <v>634</v>
      </c>
      <c r="G187" s="14">
        <f t="shared" si="23"/>
        <v>23694.2</v>
      </c>
      <c r="H187" s="87">
        <f t="shared" si="23"/>
        <v>23694.1</v>
      </c>
      <c r="I187" s="14">
        <f t="shared" si="17"/>
        <v>0.10000000000218279</v>
      </c>
      <c r="J187" s="77">
        <f t="shared" si="18"/>
        <v>99.99957795578663</v>
      </c>
    </row>
    <row r="188" spans="1:10" ht="12.75">
      <c r="A188" s="9" t="s">
        <v>633</v>
      </c>
      <c r="B188" s="13" t="s">
        <v>558</v>
      </c>
      <c r="C188" s="12" t="s">
        <v>68</v>
      </c>
      <c r="D188" s="12" t="s">
        <v>76</v>
      </c>
      <c r="E188" s="13" t="s">
        <v>586</v>
      </c>
      <c r="F188" s="13" t="s">
        <v>635</v>
      </c>
      <c r="G188" s="14">
        <f t="shared" si="23"/>
        <v>23694.2</v>
      </c>
      <c r="H188" s="87">
        <f t="shared" si="23"/>
        <v>23694.1</v>
      </c>
      <c r="I188" s="14">
        <f t="shared" si="17"/>
        <v>0.10000000000218279</v>
      </c>
      <c r="J188" s="77">
        <f t="shared" si="18"/>
        <v>99.99957795578663</v>
      </c>
    </row>
    <row r="189" spans="1:10" ht="25.5">
      <c r="A189" s="9" t="s">
        <v>733</v>
      </c>
      <c r="B189" s="13" t="s">
        <v>558</v>
      </c>
      <c r="C189" s="12" t="s">
        <v>68</v>
      </c>
      <c r="D189" s="12" t="s">
        <v>76</v>
      </c>
      <c r="E189" s="13" t="s">
        <v>586</v>
      </c>
      <c r="F189" s="13" t="s">
        <v>636</v>
      </c>
      <c r="G189" s="14">
        <f>19324.8+1279.2+3090.2</f>
        <v>23694.2</v>
      </c>
      <c r="H189" s="87">
        <v>23694.1</v>
      </c>
      <c r="I189" s="14">
        <f t="shared" si="17"/>
        <v>0.10000000000218279</v>
      </c>
      <c r="J189" s="77">
        <f t="shared" si="18"/>
        <v>99.99957795578663</v>
      </c>
    </row>
    <row r="190" spans="1:10" ht="25.5">
      <c r="A190" s="46" t="s">
        <v>615</v>
      </c>
      <c r="B190" s="13" t="s">
        <v>558</v>
      </c>
      <c r="C190" s="12" t="s">
        <v>68</v>
      </c>
      <c r="D190" s="12" t="s">
        <v>76</v>
      </c>
      <c r="E190" s="45" t="s">
        <v>601</v>
      </c>
      <c r="F190" s="13"/>
      <c r="G190" s="14">
        <f aca="true" t="shared" si="24" ref="G190:H194">G191</f>
        <v>200</v>
      </c>
      <c r="H190" s="87">
        <f t="shared" si="24"/>
        <v>200</v>
      </c>
      <c r="I190" s="14">
        <f t="shared" si="17"/>
        <v>0</v>
      </c>
      <c r="J190" s="77">
        <f t="shared" si="18"/>
        <v>100</v>
      </c>
    </row>
    <row r="191" spans="1:10" ht="25.5">
      <c r="A191" s="46" t="s">
        <v>600</v>
      </c>
      <c r="B191" s="13" t="s">
        <v>558</v>
      </c>
      <c r="C191" s="12" t="s">
        <v>68</v>
      </c>
      <c r="D191" s="12" t="s">
        <v>76</v>
      </c>
      <c r="E191" s="45" t="s">
        <v>602</v>
      </c>
      <c r="F191" s="13"/>
      <c r="G191" s="14">
        <f t="shared" si="24"/>
        <v>200</v>
      </c>
      <c r="H191" s="87">
        <f t="shared" si="24"/>
        <v>200</v>
      </c>
      <c r="I191" s="14">
        <f t="shared" si="17"/>
        <v>0</v>
      </c>
      <c r="J191" s="77">
        <f t="shared" si="18"/>
        <v>100</v>
      </c>
    </row>
    <row r="192" spans="1:10" ht="25.5">
      <c r="A192" s="46" t="s">
        <v>616</v>
      </c>
      <c r="B192" s="13" t="s">
        <v>558</v>
      </c>
      <c r="C192" s="12" t="s">
        <v>68</v>
      </c>
      <c r="D192" s="12" t="s">
        <v>76</v>
      </c>
      <c r="E192" s="45" t="s">
        <v>603</v>
      </c>
      <c r="F192" s="13"/>
      <c r="G192" s="14">
        <f t="shared" si="24"/>
        <v>200</v>
      </c>
      <c r="H192" s="87">
        <f t="shared" si="24"/>
        <v>200</v>
      </c>
      <c r="I192" s="14">
        <f t="shared" si="17"/>
        <v>0</v>
      </c>
      <c r="J192" s="77">
        <f t="shared" si="18"/>
        <v>100</v>
      </c>
    </row>
    <row r="193" spans="1:10" ht="12.75">
      <c r="A193" s="9" t="s">
        <v>632</v>
      </c>
      <c r="B193" s="13" t="s">
        <v>558</v>
      </c>
      <c r="C193" s="12" t="s">
        <v>68</v>
      </c>
      <c r="D193" s="12" t="s">
        <v>76</v>
      </c>
      <c r="E193" s="45" t="s">
        <v>603</v>
      </c>
      <c r="F193" s="13" t="s">
        <v>634</v>
      </c>
      <c r="G193" s="14">
        <f t="shared" si="24"/>
        <v>200</v>
      </c>
      <c r="H193" s="87">
        <f t="shared" si="24"/>
        <v>200</v>
      </c>
      <c r="I193" s="14">
        <f t="shared" si="17"/>
        <v>0</v>
      </c>
      <c r="J193" s="77">
        <f t="shared" si="18"/>
        <v>100</v>
      </c>
    </row>
    <row r="194" spans="1:10" ht="12.75">
      <c r="A194" s="9" t="s">
        <v>633</v>
      </c>
      <c r="B194" s="13" t="s">
        <v>558</v>
      </c>
      <c r="C194" s="12" t="s">
        <v>68</v>
      </c>
      <c r="D194" s="12" t="s">
        <v>76</v>
      </c>
      <c r="E194" s="45" t="s">
        <v>603</v>
      </c>
      <c r="F194" s="13" t="s">
        <v>635</v>
      </c>
      <c r="G194" s="14">
        <f t="shared" si="24"/>
        <v>200</v>
      </c>
      <c r="H194" s="87">
        <f t="shared" si="24"/>
        <v>200</v>
      </c>
      <c r="I194" s="14">
        <f t="shared" si="17"/>
        <v>0</v>
      </c>
      <c r="J194" s="77">
        <f t="shared" si="18"/>
        <v>100</v>
      </c>
    </row>
    <row r="195" spans="1:10" ht="25.5">
      <c r="A195" s="9" t="s">
        <v>733</v>
      </c>
      <c r="B195" s="13" t="s">
        <v>558</v>
      </c>
      <c r="C195" s="12" t="s">
        <v>68</v>
      </c>
      <c r="D195" s="12" t="s">
        <v>76</v>
      </c>
      <c r="E195" s="45" t="s">
        <v>603</v>
      </c>
      <c r="F195" s="13" t="s">
        <v>636</v>
      </c>
      <c r="G195" s="14">
        <v>200</v>
      </c>
      <c r="H195" s="87">
        <v>200</v>
      </c>
      <c r="I195" s="14">
        <f t="shared" si="17"/>
        <v>0</v>
      </c>
      <c r="J195" s="77">
        <f t="shared" si="18"/>
        <v>100</v>
      </c>
    </row>
    <row r="196" spans="1:10" ht="12.75">
      <c r="A196" s="8" t="s">
        <v>84</v>
      </c>
      <c r="B196" s="37" t="s">
        <v>558</v>
      </c>
      <c r="C196" s="29" t="s">
        <v>68</v>
      </c>
      <c r="D196" s="29" t="s">
        <v>75</v>
      </c>
      <c r="E196" s="29"/>
      <c r="F196" s="29"/>
      <c r="G196" s="30">
        <f>G197</f>
        <v>711.5</v>
      </c>
      <c r="H196" s="105">
        <f>H197</f>
        <v>711.5</v>
      </c>
      <c r="I196" s="30">
        <f t="shared" si="17"/>
        <v>0</v>
      </c>
      <c r="J196" s="82">
        <f t="shared" si="18"/>
        <v>100</v>
      </c>
    </row>
    <row r="197" spans="1:10" ht="12.75">
      <c r="A197" s="9" t="s">
        <v>248</v>
      </c>
      <c r="B197" s="12" t="s">
        <v>558</v>
      </c>
      <c r="C197" s="12" t="s">
        <v>68</v>
      </c>
      <c r="D197" s="12" t="s">
        <v>75</v>
      </c>
      <c r="E197" s="13" t="s">
        <v>255</v>
      </c>
      <c r="F197" s="13"/>
      <c r="G197" s="14">
        <f>G202+G198</f>
        <v>711.5</v>
      </c>
      <c r="H197" s="87">
        <f>H202+H198</f>
        <v>711.5</v>
      </c>
      <c r="I197" s="14">
        <f t="shared" si="17"/>
        <v>0</v>
      </c>
      <c r="J197" s="77">
        <f t="shared" si="18"/>
        <v>100</v>
      </c>
    </row>
    <row r="198" spans="1:10" ht="12.75">
      <c r="A198" s="71" t="s">
        <v>542</v>
      </c>
      <c r="B198" s="12" t="s">
        <v>558</v>
      </c>
      <c r="C198" s="83" t="s">
        <v>68</v>
      </c>
      <c r="D198" s="83" t="s">
        <v>75</v>
      </c>
      <c r="E198" s="84" t="s">
        <v>543</v>
      </c>
      <c r="F198" s="85"/>
      <c r="G198" s="87">
        <f aca="true" t="shared" si="25" ref="G198:H200">G199</f>
        <v>237.9</v>
      </c>
      <c r="H198" s="87">
        <f t="shared" si="25"/>
        <v>237.9</v>
      </c>
      <c r="I198" s="14">
        <f t="shared" si="17"/>
        <v>0</v>
      </c>
      <c r="J198" s="77">
        <f t="shared" si="18"/>
        <v>100</v>
      </c>
    </row>
    <row r="199" spans="1:10" ht="25.5">
      <c r="A199" s="46" t="s">
        <v>770</v>
      </c>
      <c r="B199" s="12" t="s">
        <v>558</v>
      </c>
      <c r="C199" s="83" t="s">
        <v>68</v>
      </c>
      <c r="D199" s="83" t="s">
        <v>75</v>
      </c>
      <c r="E199" s="84" t="s">
        <v>543</v>
      </c>
      <c r="F199" s="84" t="s">
        <v>113</v>
      </c>
      <c r="G199" s="87">
        <f t="shared" si="25"/>
        <v>237.9</v>
      </c>
      <c r="H199" s="87">
        <f t="shared" si="25"/>
        <v>237.9</v>
      </c>
      <c r="I199" s="14">
        <f t="shared" si="17"/>
        <v>0</v>
      </c>
      <c r="J199" s="77">
        <f t="shared" si="18"/>
        <v>100</v>
      </c>
    </row>
    <row r="200" spans="1:10" ht="25.5">
      <c r="A200" s="9" t="s">
        <v>106</v>
      </c>
      <c r="B200" s="12" t="s">
        <v>558</v>
      </c>
      <c r="C200" s="83" t="s">
        <v>68</v>
      </c>
      <c r="D200" s="83" t="s">
        <v>75</v>
      </c>
      <c r="E200" s="84" t="s">
        <v>543</v>
      </c>
      <c r="F200" s="84" t="s">
        <v>107</v>
      </c>
      <c r="G200" s="87">
        <f t="shared" si="25"/>
        <v>237.9</v>
      </c>
      <c r="H200" s="87">
        <f t="shared" si="25"/>
        <v>237.9</v>
      </c>
      <c r="I200" s="14">
        <f t="shared" si="17"/>
        <v>0</v>
      </c>
      <c r="J200" s="77">
        <f t="shared" si="18"/>
        <v>100</v>
      </c>
    </row>
    <row r="201" spans="1:10" ht="25.5">
      <c r="A201" s="9" t="s">
        <v>108</v>
      </c>
      <c r="B201" s="12" t="s">
        <v>558</v>
      </c>
      <c r="C201" s="83" t="s">
        <v>68</v>
      </c>
      <c r="D201" s="83" t="s">
        <v>75</v>
      </c>
      <c r="E201" s="84" t="s">
        <v>543</v>
      </c>
      <c r="F201" s="84" t="s">
        <v>109</v>
      </c>
      <c r="G201" s="87">
        <v>237.9</v>
      </c>
      <c r="H201" s="87">
        <v>237.9</v>
      </c>
      <c r="I201" s="14">
        <f t="shared" si="17"/>
        <v>0</v>
      </c>
      <c r="J201" s="77">
        <f t="shared" si="18"/>
        <v>100</v>
      </c>
    </row>
    <row r="202" spans="1:10" ht="25.5">
      <c r="A202" s="9" t="s">
        <v>627</v>
      </c>
      <c r="B202" s="12" t="s">
        <v>558</v>
      </c>
      <c r="C202" s="12" t="s">
        <v>68</v>
      </c>
      <c r="D202" s="12" t="s">
        <v>75</v>
      </c>
      <c r="E202" s="13" t="s">
        <v>628</v>
      </c>
      <c r="F202" s="13"/>
      <c r="G202" s="14">
        <f aca="true" t="shared" si="26" ref="G202:H204">G203</f>
        <v>473.6</v>
      </c>
      <c r="H202" s="87">
        <f t="shared" si="26"/>
        <v>473.6</v>
      </c>
      <c r="I202" s="14">
        <f aca="true" t="shared" si="27" ref="I202:I265">G202-H202</f>
        <v>0</v>
      </c>
      <c r="J202" s="77">
        <f aca="true" t="shared" si="28" ref="J202:J265">H202/G202*100</f>
        <v>100</v>
      </c>
    </row>
    <row r="203" spans="1:10" ht="12.75">
      <c r="A203" s="9" t="s">
        <v>137</v>
      </c>
      <c r="B203" s="12" t="s">
        <v>558</v>
      </c>
      <c r="C203" s="12" t="s">
        <v>68</v>
      </c>
      <c r="D203" s="12" t="s">
        <v>75</v>
      </c>
      <c r="E203" s="13" t="s">
        <v>628</v>
      </c>
      <c r="F203" s="13" t="s">
        <v>138</v>
      </c>
      <c r="G203" s="14">
        <f t="shared" si="26"/>
        <v>473.6</v>
      </c>
      <c r="H203" s="87">
        <f t="shared" si="26"/>
        <v>473.6</v>
      </c>
      <c r="I203" s="14">
        <f t="shared" si="27"/>
        <v>0</v>
      </c>
      <c r="J203" s="77">
        <f t="shared" si="28"/>
        <v>100</v>
      </c>
    </row>
    <row r="204" spans="1:10" ht="12.75">
      <c r="A204" s="9" t="s">
        <v>611</v>
      </c>
      <c r="B204" s="12" t="s">
        <v>558</v>
      </c>
      <c r="C204" s="12" t="s">
        <v>68</v>
      </c>
      <c r="D204" s="12" t="s">
        <v>75</v>
      </c>
      <c r="E204" s="13" t="s">
        <v>628</v>
      </c>
      <c r="F204" s="13" t="s">
        <v>612</v>
      </c>
      <c r="G204" s="14">
        <f t="shared" si="26"/>
        <v>473.6</v>
      </c>
      <c r="H204" s="87">
        <f t="shared" si="26"/>
        <v>473.6</v>
      </c>
      <c r="I204" s="14">
        <f t="shared" si="27"/>
        <v>0</v>
      </c>
      <c r="J204" s="77">
        <f t="shared" si="28"/>
        <v>100</v>
      </c>
    </row>
    <row r="205" spans="1:10" ht="76.5">
      <c r="A205" s="9" t="s">
        <v>762</v>
      </c>
      <c r="B205" s="12" t="s">
        <v>558</v>
      </c>
      <c r="C205" s="12" t="s">
        <v>68</v>
      </c>
      <c r="D205" s="12" t="s">
        <v>75</v>
      </c>
      <c r="E205" s="13" t="s">
        <v>628</v>
      </c>
      <c r="F205" s="13" t="s">
        <v>613</v>
      </c>
      <c r="G205" s="14">
        <v>473.6</v>
      </c>
      <c r="H205" s="87">
        <v>473.6</v>
      </c>
      <c r="I205" s="14">
        <f t="shared" si="27"/>
        <v>0</v>
      </c>
      <c r="J205" s="77">
        <f t="shared" si="28"/>
        <v>100</v>
      </c>
    </row>
    <row r="206" spans="1:10" ht="12.75">
      <c r="A206" s="8" t="s">
        <v>7</v>
      </c>
      <c r="B206" s="29" t="s">
        <v>558</v>
      </c>
      <c r="C206" s="37" t="s">
        <v>68</v>
      </c>
      <c r="D206" s="37" t="s">
        <v>78</v>
      </c>
      <c r="E206" s="57"/>
      <c r="F206" s="29"/>
      <c r="G206" s="30">
        <f>G207+G215</f>
        <v>516.5</v>
      </c>
      <c r="H206" s="105">
        <f>H207+H215</f>
        <v>461.5</v>
      </c>
      <c r="I206" s="30">
        <f t="shared" si="27"/>
        <v>55</v>
      </c>
      <c r="J206" s="82">
        <f t="shared" si="28"/>
        <v>89.351403678606</v>
      </c>
    </row>
    <row r="207" spans="1:10" ht="25.5">
      <c r="A207" s="25" t="s">
        <v>765</v>
      </c>
      <c r="B207" s="12" t="s">
        <v>558</v>
      </c>
      <c r="C207" s="13" t="s">
        <v>68</v>
      </c>
      <c r="D207" s="13" t="s">
        <v>78</v>
      </c>
      <c r="E207" s="45" t="s">
        <v>197</v>
      </c>
      <c r="F207" s="13"/>
      <c r="G207" s="14">
        <f>G208</f>
        <v>193.5</v>
      </c>
      <c r="H207" s="87">
        <f>H208</f>
        <v>193.5</v>
      </c>
      <c r="I207" s="14">
        <f t="shared" si="27"/>
        <v>0</v>
      </c>
      <c r="J207" s="77">
        <f t="shared" si="28"/>
        <v>100</v>
      </c>
    </row>
    <row r="208" spans="1:10" ht="38.25">
      <c r="A208" s="25" t="s">
        <v>303</v>
      </c>
      <c r="B208" s="12" t="s">
        <v>558</v>
      </c>
      <c r="C208" s="13" t="s">
        <v>68</v>
      </c>
      <c r="D208" s="13" t="s">
        <v>78</v>
      </c>
      <c r="E208" s="45" t="s">
        <v>447</v>
      </c>
      <c r="F208" s="13"/>
      <c r="G208" s="14">
        <f>G209+G212</f>
        <v>193.5</v>
      </c>
      <c r="H208" s="87">
        <f>H209+H212</f>
        <v>193.5</v>
      </c>
      <c r="I208" s="14">
        <f t="shared" si="27"/>
        <v>0</v>
      </c>
      <c r="J208" s="77">
        <f t="shared" si="28"/>
        <v>100</v>
      </c>
    </row>
    <row r="209" spans="1:10" ht="25.5">
      <c r="A209" s="25" t="s">
        <v>719</v>
      </c>
      <c r="B209" s="12" t="s">
        <v>558</v>
      </c>
      <c r="C209" s="13" t="s">
        <v>68</v>
      </c>
      <c r="D209" s="13" t="s">
        <v>78</v>
      </c>
      <c r="E209" s="45" t="s">
        <v>720</v>
      </c>
      <c r="F209" s="13"/>
      <c r="G209" s="14">
        <f>G210</f>
        <v>93.5</v>
      </c>
      <c r="H209" s="87">
        <f>H210</f>
        <v>93.5</v>
      </c>
      <c r="I209" s="14">
        <f t="shared" si="27"/>
        <v>0</v>
      </c>
      <c r="J209" s="77">
        <f t="shared" si="28"/>
        <v>100</v>
      </c>
    </row>
    <row r="210" spans="1:10" ht="12.75">
      <c r="A210" s="9" t="s">
        <v>137</v>
      </c>
      <c r="B210" s="12" t="s">
        <v>558</v>
      </c>
      <c r="C210" s="13" t="s">
        <v>68</v>
      </c>
      <c r="D210" s="13" t="s">
        <v>78</v>
      </c>
      <c r="E210" s="45" t="s">
        <v>720</v>
      </c>
      <c r="F210" s="13" t="s">
        <v>138</v>
      </c>
      <c r="G210" s="14">
        <f>G211</f>
        <v>93.5</v>
      </c>
      <c r="H210" s="87">
        <f>H211</f>
        <v>93.5</v>
      </c>
      <c r="I210" s="14">
        <f t="shared" si="27"/>
        <v>0</v>
      </c>
      <c r="J210" s="77">
        <f t="shared" si="28"/>
        <v>100</v>
      </c>
    </row>
    <row r="211" spans="1:10" ht="25.5">
      <c r="A211" s="9" t="s">
        <v>182</v>
      </c>
      <c r="B211" s="12" t="s">
        <v>558</v>
      </c>
      <c r="C211" s="13" t="s">
        <v>68</v>
      </c>
      <c r="D211" s="13" t="s">
        <v>78</v>
      </c>
      <c r="E211" s="45" t="s">
        <v>720</v>
      </c>
      <c r="F211" s="13" t="s">
        <v>139</v>
      </c>
      <c r="G211" s="14">
        <v>93.5</v>
      </c>
      <c r="H211" s="87">
        <v>93.5</v>
      </c>
      <c r="I211" s="14">
        <f t="shared" si="27"/>
        <v>0</v>
      </c>
      <c r="J211" s="77">
        <f t="shared" si="28"/>
        <v>100</v>
      </c>
    </row>
    <row r="212" spans="1:10" ht="25.5">
      <c r="A212" s="25" t="s">
        <v>721</v>
      </c>
      <c r="B212" s="12" t="s">
        <v>558</v>
      </c>
      <c r="C212" s="13" t="s">
        <v>68</v>
      </c>
      <c r="D212" s="13" t="s">
        <v>78</v>
      </c>
      <c r="E212" s="45" t="s">
        <v>722</v>
      </c>
      <c r="F212" s="13"/>
      <c r="G212" s="14">
        <f>G213</f>
        <v>100</v>
      </c>
      <c r="H212" s="87">
        <f>H213</f>
        <v>100</v>
      </c>
      <c r="I212" s="14">
        <f t="shared" si="27"/>
        <v>0</v>
      </c>
      <c r="J212" s="77">
        <f t="shared" si="28"/>
        <v>100</v>
      </c>
    </row>
    <row r="213" spans="1:10" ht="12.75">
      <c r="A213" s="9" t="s">
        <v>137</v>
      </c>
      <c r="B213" s="12" t="s">
        <v>558</v>
      </c>
      <c r="C213" s="13" t="s">
        <v>68</v>
      </c>
      <c r="D213" s="13" t="s">
        <v>78</v>
      </c>
      <c r="E213" s="45" t="s">
        <v>722</v>
      </c>
      <c r="F213" s="13" t="s">
        <v>138</v>
      </c>
      <c r="G213" s="14">
        <f>G214</f>
        <v>100</v>
      </c>
      <c r="H213" s="87">
        <f>H214</f>
        <v>100</v>
      </c>
      <c r="I213" s="14">
        <f t="shared" si="27"/>
        <v>0</v>
      </c>
      <c r="J213" s="77">
        <f t="shared" si="28"/>
        <v>100</v>
      </c>
    </row>
    <row r="214" spans="1:10" ht="25.5">
      <c r="A214" s="9" t="s">
        <v>182</v>
      </c>
      <c r="B214" s="12" t="s">
        <v>558</v>
      </c>
      <c r="C214" s="13" t="s">
        <v>68</v>
      </c>
      <c r="D214" s="13" t="s">
        <v>78</v>
      </c>
      <c r="E214" s="45" t="s">
        <v>722</v>
      </c>
      <c r="F214" s="13" t="s">
        <v>139</v>
      </c>
      <c r="G214" s="14">
        <v>100</v>
      </c>
      <c r="H214" s="87">
        <v>100</v>
      </c>
      <c r="I214" s="14">
        <f t="shared" si="27"/>
        <v>0</v>
      </c>
      <c r="J214" s="77">
        <f t="shared" si="28"/>
        <v>100</v>
      </c>
    </row>
    <row r="215" spans="1:10" ht="25.5">
      <c r="A215" s="9" t="s">
        <v>566</v>
      </c>
      <c r="B215" s="12" t="s">
        <v>558</v>
      </c>
      <c r="C215" s="13" t="s">
        <v>68</v>
      </c>
      <c r="D215" s="13" t="s">
        <v>78</v>
      </c>
      <c r="E215" s="45" t="s">
        <v>198</v>
      </c>
      <c r="F215" s="13"/>
      <c r="G215" s="14">
        <f>G216</f>
        <v>323</v>
      </c>
      <c r="H215" s="87">
        <f>H216</f>
        <v>268</v>
      </c>
      <c r="I215" s="14">
        <f t="shared" si="27"/>
        <v>55</v>
      </c>
      <c r="J215" s="77">
        <f t="shared" si="28"/>
        <v>82.97213622291022</v>
      </c>
    </row>
    <row r="216" spans="1:10" ht="38.25">
      <c r="A216" s="9" t="s">
        <v>287</v>
      </c>
      <c r="B216" s="12" t="s">
        <v>558</v>
      </c>
      <c r="C216" s="13" t="s">
        <v>68</v>
      </c>
      <c r="D216" s="13" t="s">
        <v>78</v>
      </c>
      <c r="E216" s="45" t="s">
        <v>448</v>
      </c>
      <c r="F216" s="13"/>
      <c r="G216" s="14">
        <f>G217+G221+G225</f>
        <v>323</v>
      </c>
      <c r="H216" s="87">
        <f>H217+H221+H225</f>
        <v>268</v>
      </c>
      <c r="I216" s="14">
        <f t="shared" si="27"/>
        <v>55</v>
      </c>
      <c r="J216" s="77">
        <f t="shared" si="28"/>
        <v>82.97213622291022</v>
      </c>
    </row>
    <row r="217" spans="1:10" ht="25.5">
      <c r="A217" s="25" t="s">
        <v>741</v>
      </c>
      <c r="B217" s="12" t="s">
        <v>558</v>
      </c>
      <c r="C217" s="13" t="s">
        <v>68</v>
      </c>
      <c r="D217" s="13" t="s">
        <v>78</v>
      </c>
      <c r="E217" s="45" t="s">
        <v>699</v>
      </c>
      <c r="F217" s="13"/>
      <c r="G217" s="14">
        <f aca="true" t="shared" si="29" ref="G217:H219">G218</f>
        <v>273</v>
      </c>
      <c r="H217" s="87">
        <f t="shared" si="29"/>
        <v>218</v>
      </c>
      <c r="I217" s="14">
        <f t="shared" si="27"/>
        <v>55</v>
      </c>
      <c r="J217" s="77">
        <f t="shared" si="28"/>
        <v>79.85347985347985</v>
      </c>
    </row>
    <row r="218" spans="1:10" ht="25.5">
      <c r="A218" s="46" t="s">
        <v>770</v>
      </c>
      <c r="B218" s="12" t="s">
        <v>558</v>
      </c>
      <c r="C218" s="13" t="s">
        <v>68</v>
      </c>
      <c r="D218" s="13" t="s">
        <v>78</v>
      </c>
      <c r="E218" s="45" t="s">
        <v>699</v>
      </c>
      <c r="F218" s="13" t="s">
        <v>113</v>
      </c>
      <c r="G218" s="14">
        <f t="shared" si="29"/>
        <v>273</v>
      </c>
      <c r="H218" s="87">
        <f t="shared" si="29"/>
        <v>218</v>
      </c>
      <c r="I218" s="14">
        <f t="shared" si="27"/>
        <v>55</v>
      </c>
      <c r="J218" s="77">
        <f t="shared" si="28"/>
        <v>79.85347985347985</v>
      </c>
    </row>
    <row r="219" spans="1:10" ht="25.5">
      <c r="A219" s="9" t="s">
        <v>106</v>
      </c>
      <c r="B219" s="12" t="s">
        <v>558</v>
      </c>
      <c r="C219" s="13" t="s">
        <v>68</v>
      </c>
      <c r="D219" s="13" t="s">
        <v>78</v>
      </c>
      <c r="E219" s="45" t="s">
        <v>699</v>
      </c>
      <c r="F219" s="13" t="s">
        <v>107</v>
      </c>
      <c r="G219" s="14">
        <f t="shared" si="29"/>
        <v>273</v>
      </c>
      <c r="H219" s="87">
        <f t="shared" si="29"/>
        <v>218</v>
      </c>
      <c r="I219" s="14">
        <f t="shared" si="27"/>
        <v>55</v>
      </c>
      <c r="J219" s="77">
        <f t="shared" si="28"/>
        <v>79.85347985347985</v>
      </c>
    </row>
    <row r="220" spans="1:10" ht="25.5">
      <c r="A220" s="9" t="s">
        <v>108</v>
      </c>
      <c r="B220" s="12" t="s">
        <v>558</v>
      </c>
      <c r="C220" s="13" t="s">
        <v>68</v>
      </c>
      <c r="D220" s="13" t="s">
        <v>78</v>
      </c>
      <c r="E220" s="45" t="s">
        <v>699</v>
      </c>
      <c r="F220" s="13" t="s">
        <v>109</v>
      </c>
      <c r="G220" s="14">
        <f>294-21</f>
        <v>273</v>
      </c>
      <c r="H220" s="87">
        <v>218</v>
      </c>
      <c r="I220" s="14">
        <f t="shared" si="27"/>
        <v>55</v>
      </c>
      <c r="J220" s="77">
        <f t="shared" si="28"/>
        <v>79.85347985347985</v>
      </c>
    </row>
    <row r="221" spans="1:10" ht="25.5">
      <c r="A221" s="25" t="s">
        <v>742</v>
      </c>
      <c r="B221" s="12" t="s">
        <v>558</v>
      </c>
      <c r="C221" s="13" t="s">
        <v>68</v>
      </c>
      <c r="D221" s="13" t="s">
        <v>78</v>
      </c>
      <c r="E221" s="45" t="s">
        <v>700</v>
      </c>
      <c r="F221" s="13"/>
      <c r="G221" s="14">
        <f aca="true" t="shared" si="30" ref="G221:H223">G222</f>
        <v>20</v>
      </c>
      <c r="H221" s="87">
        <f t="shared" si="30"/>
        <v>20</v>
      </c>
      <c r="I221" s="14">
        <f t="shared" si="27"/>
        <v>0</v>
      </c>
      <c r="J221" s="77">
        <f t="shared" si="28"/>
        <v>100</v>
      </c>
    </row>
    <row r="222" spans="1:10" ht="25.5">
      <c r="A222" s="46" t="s">
        <v>770</v>
      </c>
      <c r="B222" s="12" t="s">
        <v>558</v>
      </c>
      <c r="C222" s="13" t="s">
        <v>68</v>
      </c>
      <c r="D222" s="13" t="s">
        <v>78</v>
      </c>
      <c r="E222" s="45" t="s">
        <v>700</v>
      </c>
      <c r="F222" s="13" t="s">
        <v>113</v>
      </c>
      <c r="G222" s="14">
        <f t="shared" si="30"/>
        <v>20</v>
      </c>
      <c r="H222" s="87">
        <f t="shared" si="30"/>
        <v>20</v>
      </c>
      <c r="I222" s="14">
        <f t="shared" si="27"/>
        <v>0</v>
      </c>
      <c r="J222" s="77">
        <f t="shared" si="28"/>
        <v>100</v>
      </c>
    </row>
    <row r="223" spans="1:10" ht="25.5">
      <c r="A223" s="9" t="s">
        <v>106</v>
      </c>
      <c r="B223" s="12" t="s">
        <v>558</v>
      </c>
      <c r="C223" s="13" t="s">
        <v>68</v>
      </c>
      <c r="D223" s="13" t="s">
        <v>78</v>
      </c>
      <c r="E223" s="45" t="s">
        <v>700</v>
      </c>
      <c r="F223" s="13" t="s">
        <v>107</v>
      </c>
      <c r="G223" s="14">
        <f t="shared" si="30"/>
        <v>20</v>
      </c>
      <c r="H223" s="87">
        <f t="shared" si="30"/>
        <v>20</v>
      </c>
      <c r="I223" s="14">
        <f t="shared" si="27"/>
        <v>0</v>
      </c>
      <c r="J223" s="77">
        <f t="shared" si="28"/>
        <v>100</v>
      </c>
    </row>
    <row r="224" spans="1:10" ht="25.5">
      <c r="A224" s="9" t="s">
        <v>108</v>
      </c>
      <c r="B224" s="12" t="s">
        <v>558</v>
      </c>
      <c r="C224" s="13" t="s">
        <v>68</v>
      </c>
      <c r="D224" s="13" t="s">
        <v>78</v>
      </c>
      <c r="E224" s="45" t="s">
        <v>700</v>
      </c>
      <c r="F224" s="13" t="s">
        <v>109</v>
      </c>
      <c r="G224" s="14">
        <v>20</v>
      </c>
      <c r="H224" s="87">
        <v>20</v>
      </c>
      <c r="I224" s="14">
        <f t="shared" si="27"/>
        <v>0</v>
      </c>
      <c r="J224" s="77">
        <f t="shared" si="28"/>
        <v>100</v>
      </c>
    </row>
    <row r="225" spans="1:10" ht="25.5">
      <c r="A225" s="9" t="s">
        <v>763</v>
      </c>
      <c r="B225" s="12" t="s">
        <v>558</v>
      </c>
      <c r="C225" s="13" t="s">
        <v>68</v>
      </c>
      <c r="D225" s="13" t="s">
        <v>78</v>
      </c>
      <c r="E225" s="45" t="s">
        <v>764</v>
      </c>
      <c r="F225" s="13"/>
      <c r="G225" s="86">
        <f aca="true" t="shared" si="31" ref="G225:H227">G226</f>
        <v>30</v>
      </c>
      <c r="H225" s="106">
        <f t="shared" si="31"/>
        <v>30</v>
      </c>
      <c r="I225" s="14">
        <f t="shared" si="27"/>
        <v>0</v>
      </c>
      <c r="J225" s="77">
        <f t="shared" si="28"/>
        <v>100</v>
      </c>
    </row>
    <row r="226" spans="1:10" ht="25.5">
      <c r="A226" s="46" t="s">
        <v>770</v>
      </c>
      <c r="B226" s="12" t="s">
        <v>558</v>
      </c>
      <c r="C226" s="13" t="s">
        <v>68</v>
      </c>
      <c r="D226" s="13" t="s">
        <v>78</v>
      </c>
      <c r="E226" s="45" t="s">
        <v>764</v>
      </c>
      <c r="F226" s="13" t="s">
        <v>113</v>
      </c>
      <c r="G226" s="86">
        <f t="shared" si="31"/>
        <v>30</v>
      </c>
      <c r="H226" s="106">
        <f t="shared" si="31"/>
        <v>30</v>
      </c>
      <c r="I226" s="14">
        <f t="shared" si="27"/>
        <v>0</v>
      </c>
      <c r="J226" s="77">
        <f t="shared" si="28"/>
        <v>100</v>
      </c>
    </row>
    <row r="227" spans="1:10" ht="25.5">
      <c r="A227" s="9" t="s">
        <v>106</v>
      </c>
      <c r="B227" s="12" t="s">
        <v>558</v>
      </c>
      <c r="C227" s="13" t="s">
        <v>68</v>
      </c>
      <c r="D227" s="13" t="s">
        <v>78</v>
      </c>
      <c r="E227" s="45" t="s">
        <v>764</v>
      </c>
      <c r="F227" s="13" t="s">
        <v>107</v>
      </c>
      <c r="G227" s="86">
        <f t="shared" si="31"/>
        <v>30</v>
      </c>
      <c r="H227" s="106">
        <f t="shared" si="31"/>
        <v>30</v>
      </c>
      <c r="I227" s="14">
        <f t="shared" si="27"/>
        <v>0</v>
      </c>
      <c r="J227" s="77">
        <f t="shared" si="28"/>
        <v>100</v>
      </c>
    </row>
    <row r="228" spans="1:10" ht="28.5" customHeight="1">
      <c r="A228" s="9" t="s">
        <v>108</v>
      </c>
      <c r="B228" s="12" t="s">
        <v>558</v>
      </c>
      <c r="C228" s="13" t="s">
        <v>68</v>
      </c>
      <c r="D228" s="13" t="s">
        <v>78</v>
      </c>
      <c r="E228" s="45" t="s">
        <v>764</v>
      </c>
      <c r="F228" s="13" t="s">
        <v>109</v>
      </c>
      <c r="G228" s="86">
        <v>30</v>
      </c>
      <c r="H228" s="106">
        <v>30</v>
      </c>
      <c r="I228" s="14">
        <f t="shared" si="27"/>
        <v>0</v>
      </c>
      <c r="J228" s="77">
        <f t="shared" si="28"/>
        <v>100</v>
      </c>
    </row>
    <row r="229" spans="1:10" ht="12.75">
      <c r="A229" s="60" t="s">
        <v>377</v>
      </c>
      <c r="B229" s="37" t="s">
        <v>558</v>
      </c>
      <c r="C229" s="37" t="s">
        <v>72</v>
      </c>
      <c r="D229" s="37" t="s">
        <v>36</v>
      </c>
      <c r="E229" s="13"/>
      <c r="F229" s="13"/>
      <c r="G229" s="30">
        <f>G230+G250</f>
        <v>34513.1</v>
      </c>
      <c r="H229" s="105">
        <f>H230+H250</f>
        <v>34512</v>
      </c>
      <c r="I229" s="14">
        <f t="shared" si="27"/>
        <v>1.0999999999985448</v>
      </c>
      <c r="J229" s="77">
        <f t="shared" si="28"/>
        <v>99.99681280441341</v>
      </c>
    </row>
    <row r="230" spans="1:10" ht="12.75">
      <c r="A230" s="60" t="s">
        <v>161</v>
      </c>
      <c r="B230" s="37" t="s">
        <v>558</v>
      </c>
      <c r="C230" s="37" t="s">
        <v>72</v>
      </c>
      <c r="D230" s="37" t="s">
        <v>66</v>
      </c>
      <c r="E230" s="13"/>
      <c r="F230" s="13"/>
      <c r="G230" s="30">
        <f>G231+G236</f>
        <v>14513.1</v>
      </c>
      <c r="H230" s="105">
        <f>H231+H236</f>
        <v>14512</v>
      </c>
      <c r="I230" s="14">
        <f t="shared" si="27"/>
        <v>1.1000000000003638</v>
      </c>
      <c r="J230" s="77">
        <f t="shared" si="28"/>
        <v>99.99242064066257</v>
      </c>
    </row>
    <row r="231" spans="1:10" ht="25.5">
      <c r="A231" s="46" t="s">
        <v>596</v>
      </c>
      <c r="B231" s="13" t="s">
        <v>558</v>
      </c>
      <c r="C231" s="12" t="s">
        <v>72</v>
      </c>
      <c r="D231" s="12" t="s">
        <v>66</v>
      </c>
      <c r="E231" s="13" t="s">
        <v>591</v>
      </c>
      <c r="F231" s="29"/>
      <c r="G231" s="14">
        <f aca="true" t="shared" si="32" ref="G231:H234">G232</f>
        <v>11193.1</v>
      </c>
      <c r="H231" s="87">
        <f t="shared" si="32"/>
        <v>11193.1</v>
      </c>
      <c r="I231" s="14">
        <f t="shared" si="27"/>
        <v>0</v>
      </c>
      <c r="J231" s="77">
        <f t="shared" si="28"/>
        <v>100</v>
      </c>
    </row>
    <row r="232" spans="1:10" ht="25.5">
      <c r="A232" s="46" t="s">
        <v>597</v>
      </c>
      <c r="B232" s="13" t="s">
        <v>558</v>
      </c>
      <c r="C232" s="12" t="s">
        <v>72</v>
      </c>
      <c r="D232" s="12" t="s">
        <v>66</v>
      </c>
      <c r="E232" s="13" t="s">
        <v>592</v>
      </c>
      <c r="F232" s="29"/>
      <c r="G232" s="14">
        <f t="shared" si="32"/>
        <v>11193.1</v>
      </c>
      <c r="H232" s="87">
        <f t="shared" si="32"/>
        <v>11193.1</v>
      </c>
      <c r="I232" s="14">
        <f t="shared" si="27"/>
        <v>0</v>
      </c>
      <c r="J232" s="77">
        <f t="shared" si="28"/>
        <v>100</v>
      </c>
    </row>
    <row r="233" spans="1:10" ht="12.75">
      <c r="A233" s="46" t="s">
        <v>593</v>
      </c>
      <c r="B233" s="13" t="s">
        <v>558</v>
      </c>
      <c r="C233" s="12" t="s">
        <v>72</v>
      </c>
      <c r="D233" s="12" t="s">
        <v>66</v>
      </c>
      <c r="E233" s="13" t="s">
        <v>594</v>
      </c>
      <c r="F233" s="29"/>
      <c r="G233" s="14">
        <f t="shared" si="32"/>
        <v>11193.1</v>
      </c>
      <c r="H233" s="87">
        <f t="shared" si="32"/>
        <v>11193.1</v>
      </c>
      <c r="I233" s="14">
        <f t="shared" si="27"/>
        <v>0</v>
      </c>
      <c r="J233" s="77">
        <f t="shared" si="28"/>
        <v>100</v>
      </c>
    </row>
    <row r="234" spans="1:10" ht="12.75">
      <c r="A234" s="46" t="s">
        <v>137</v>
      </c>
      <c r="B234" s="13" t="s">
        <v>558</v>
      </c>
      <c r="C234" s="12" t="s">
        <v>72</v>
      </c>
      <c r="D234" s="12" t="s">
        <v>66</v>
      </c>
      <c r="E234" s="13" t="s">
        <v>594</v>
      </c>
      <c r="F234" s="13" t="s">
        <v>138</v>
      </c>
      <c r="G234" s="14">
        <f t="shared" si="32"/>
        <v>11193.1</v>
      </c>
      <c r="H234" s="87">
        <f t="shared" si="32"/>
        <v>11193.1</v>
      </c>
      <c r="I234" s="14">
        <f t="shared" si="27"/>
        <v>0</v>
      </c>
      <c r="J234" s="77">
        <f t="shared" si="28"/>
        <v>100</v>
      </c>
    </row>
    <row r="235" spans="1:10" ht="25.5">
      <c r="A235" s="46" t="s">
        <v>182</v>
      </c>
      <c r="B235" s="13" t="s">
        <v>558</v>
      </c>
      <c r="C235" s="12" t="s">
        <v>72</v>
      </c>
      <c r="D235" s="12" t="s">
        <v>66</v>
      </c>
      <c r="E235" s="13" t="s">
        <v>594</v>
      </c>
      <c r="F235" s="13" t="s">
        <v>139</v>
      </c>
      <c r="G235" s="14">
        <v>11193.1</v>
      </c>
      <c r="H235" s="87">
        <v>11193.1</v>
      </c>
      <c r="I235" s="14">
        <f t="shared" si="27"/>
        <v>0</v>
      </c>
      <c r="J235" s="77">
        <f t="shared" si="28"/>
        <v>100</v>
      </c>
    </row>
    <row r="236" spans="1:10" ht="12.75">
      <c r="A236" s="46" t="s">
        <v>242</v>
      </c>
      <c r="B236" s="13" t="s">
        <v>558</v>
      </c>
      <c r="C236" s="12" t="s">
        <v>72</v>
      </c>
      <c r="D236" s="12" t="s">
        <v>66</v>
      </c>
      <c r="E236" s="13" t="s">
        <v>254</v>
      </c>
      <c r="F236" s="13"/>
      <c r="G236" s="14">
        <f>G242+G237</f>
        <v>3320</v>
      </c>
      <c r="H236" s="87">
        <f>H242+H237</f>
        <v>3318.9</v>
      </c>
      <c r="I236" s="14">
        <f t="shared" si="27"/>
        <v>1.099999999999909</v>
      </c>
      <c r="J236" s="77">
        <f t="shared" si="28"/>
        <v>99.96686746987952</v>
      </c>
    </row>
    <row r="237" spans="1:10" ht="12.75">
      <c r="A237" s="9" t="s">
        <v>373</v>
      </c>
      <c r="B237" s="13" t="s">
        <v>558</v>
      </c>
      <c r="C237" s="12" t="s">
        <v>72</v>
      </c>
      <c r="D237" s="12" t="s">
        <v>66</v>
      </c>
      <c r="E237" s="13" t="s">
        <v>508</v>
      </c>
      <c r="F237" s="13"/>
      <c r="G237" s="14">
        <f aca="true" t="shared" si="33" ref="G237:H240">G238</f>
        <v>2853.6</v>
      </c>
      <c r="H237" s="87">
        <f t="shared" si="33"/>
        <v>2852.5</v>
      </c>
      <c r="I237" s="14">
        <f t="shared" si="27"/>
        <v>1.099999999999909</v>
      </c>
      <c r="J237" s="77">
        <f t="shared" si="28"/>
        <v>99.9614522007289</v>
      </c>
    </row>
    <row r="238" spans="1:10" ht="12.75">
      <c r="A238" s="9" t="s">
        <v>374</v>
      </c>
      <c r="B238" s="13" t="s">
        <v>558</v>
      </c>
      <c r="C238" s="12" t="s">
        <v>72</v>
      </c>
      <c r="D238" s="12" t="s">
        <v>66</v>
      </c>
      <c r="E238" s="13" t="s">
        <v>509</v>
      </c>
      <c r="F238" s="13"/>
      <c r="G238" s="14">
        <f t="shared" si="33"/>
        <v>2853.6</v>
      </c>
      <c r="H238" s="87">
        <f t="shared" si="33"/>
        <v>2852.5</v>
      </c>
      <c r="I238" s="14">
        <f t="shared" si="27"/>
        <v>1.099999999999909</v>
      </c>
      <c r="J238" s="77">
        <f t="shared" si="28"/>
        <v>99.9614522007289</v>
      </c>
    </row>
    <row r="239" spans="1:10" ht="12.75">
      <c r="A239" s="9" t="s">
        <v>112</v>
      </c>
      <c r="B239" s="13" t="s">
        <v>558</v>
      </c>
      <c r="C239" s="12" t="s">
        <v>72</v>
      </c>
      <c r="D239" s="12" t="s">
        <v>66</v>
      </c>
      <c r="E239" s="13" t="s">
        <v>509</v>
      </c>
      <c r="F239" s="13" t="s">
        <v>113</v>
      </c>
      <c r="G239" s="14">
        <f t="shared" si="33"/>
        <v>2853.6</v>
      </c>
      <c r="H239" s="87">
        <f t="shared" si="33"/>
        <v>2852.5</v>
      </c>
      <c r="I239" s="14">
        <f t="shared" si="27"/>
        <v>1.099999999999909</v>
      </c>
      <c r="J239" s="77">
        <f t="shared" si="28"/>
        <v>99.9614522007289</v>
      </c>
    </row>
    <row r="240" spans="1:10" ht="25.5">
      <c r="A240" s="9" t="s">
        <v>106</v>
      </c>
      <c r="B240" s="13" t="s">
        <v>558</v>
      </c>
      <c r="C240" s="12" t="s">
        <v>72</v>
      </c>
      <c r="D240" s="12" t="s">
        <v>66</v>
      </c>
      <c r="E240" s="13" t="s">
        <v>509</v>
      </c>
      <c r="F240" s="13" t="s">
        <v>107</v>
      </c>
      <c r="G240" s="14">
        <f t="shared" si="33"/>
        <v>2853.6</v>
      </c>
      <c r="H240" s="87">
        <f t="shared" si="33"/>
        <v>2852.5</v>
      </c>
      <c r="I240" s="14">
        <f t="shared" si="27"/>
        <v>1.099999999999909</v>
      </c>
      <c r="J240" s="77">
        <f t="shared" si="28"/>
        <v>99.9614522007289</v>
      </c>
    </row>
    <row r="241" spans="1:10" ht="25.5">
      <c r="A241" s="9" t="s">
        <v>108</v>
      </c>
      <c r="B241" s="13" t="s">
        <v>558</v>
      </c>
      <c r="C241" s="12" t="s">
        <v>72</v>
      </c>
      <c r="D241" s="12" t="s">
        <v>66</v>
      </c>
      <c r="E241" s="13" t="s">
        <v>509</v>
      </c>
      <c r="F241" s="13" t="s">
        <v>109</v>
      </c>
      <c r="G241" s="14">
        <f>2833.6+20</f>
        <v>2853.6</v>
      </c>
      <c r="H241" s="87">
        <v>2852.5</v>
      </c>
      <c r="I241" s="14">
        <f t="shared" si="27"/>
        <v>1.099999999999909</v>
      </c>
      <c r="J241" s="77">
        <f t="shared" si="28"/>
        <v>99.9614522007289</v>
      </c>
    </row>
    <row r="242" spans="1:10" ht="25.5">
      <c r="A242" s="46" t="s">
        <v>605</v>
      </c>
      <c r="B242" s="12" t="s">
        <v>558</v>
      </c>
      <c r="C242" s="12" t="s">
        <v>72</v>
      </c>
      <c r="D242" s="12" t="s">
        <v>66</v>
      </c>
      <c r="E242" s="13" t="s">
        <v>606</v>
      </c>
      <c r="F242" s="13"/>
      <c r="G242" s="14">
        <f>G243+G246</f>
        <v>466.4</v>
      </c>
      <c r="H242" s="87">
        <f>H243+H246</f>
        <v>466.4</v>
      </c>
      <c r="I242" s="14">
        <f t="shared" si="27"/>
        <v>0</v>
      </c>
      <c r="J242" s="77">
        <f t="shared" si="28"/>
        <v>100</v>
      </c>
    </row>
    <row r="243" spans="1:10" ht="25.5">
      <c r="A243" s="46" t="s">
        <v>607</v>
      </c>
      <c r="B243" s="12" t="s">
        <v>558</v>
      </c>
      <c r="C243" s="12" t="s">
        <v>72</v>
      </c>
      <c r="D243" s="12" t="s">
        <v>66</v>
      </c>
      <c r="E243" s="13" t="s">
        <v>608</v>
      </c>
      <c r="F243" s="13"/>
      <c r="G243" s="14">
        <f>G244</f>
        <v>90</v>
      </c>
      <c r="H243" s="87">
        <f>H244</f>
        <v>90</v>
      </c>
      <c r="I243" s="14">
        <f t="shared" si="27"/>
        <v>0</v>
      </c>
      <c r="J243" s="77">
        <f t="shared" si="28"/>
        <v>100</v>
      </c>
    </row>
    <row r="244" spans="1:10" ht="12.75">
      <c r="A244" s="46" t="s">
        <v>137</v>
      </c>
      <c r="B244" s="12" t="s">
        <v>558</v>
      </c>
      <c r="C244" s="12" t="s">
        <v>72</v>
      </c>
      <c r="D244" s="12" t="s">
        <v>66</v>
      </c>
      <c r="E244" s="13" t="s">
        <v>608</v>
      </c>
      <c r="F244" s="13" t="s">
        <v>138</v>
      </c>
      <c r="G244" s="14">
        <f>G245</f>
        <v>90</v>
      </c>
      <c r="H244" s="87">
        <f>H245</f>
        <v>90</v>
      </c>
      <c r="I244" s="14">
        <f t="shared" si="27"/>
        <v>0</v>
      </c>
      <c r="J244" s="77">
        <f t="shared" si="28"/>
        <v>100</v>
      </c>
    </row>
    <row r="245" spans="1:10" ht="25.5">
      <c r="A245" s="46" t="s">
        <v>182</v>
      </c>
      <c r="B245" s="12" t="s">
        <v>558</v>
      </c>
      <c r="C245" s="12" t="s">
        <v>72</v>
      </c>
      <c r="D245" s="12" t="s">
        <v>66</v>
      </c>
      <c r="E245" s="13" t="s">
        <v>608</v>
      </c>
      <c r="F245" s="13" t="s">
        <v>139</v>
      </c>
      <c r="G245" s="14">
        <v>90</v>
      </c>
      <c r="H245" s="87">
        <v>90</v>
      </c>
      <c r="I245" s="14">
        <f t="shared" si="27"/>
        <v>0</v>
      </c>
      <c r="J245" s="77">
        <f t="shared" si="28"/>
        <v>100</v>
      </c>
    </row>
    <row r="246" spans="1:10" ht="25.5">
      <c r="A246" s="46" t="s">
        <v>609</v>
      </c>
      <c r="B246" s="12" t="s">
        <v>558</v>
      </c>
      <c r="C246" s="12" t="s">
        <v>72</v>
      </c>
      <c r="D246" s="12" t="s">
        <v>66</v>
      </c>
      <c r="E246" s="13" t="s">
        <v>610</v>
      </c>
      <c r="F246" s="13"/>
      <c r="G246" s="14">
        <f>G248</f>
        <v>376.4</v>
      </c>
      <c r="H246" s="87">
        <f>H248</f>
        <v>376.4</v>
      </c>
      <c r="I246" s="14">
        <f t="shared" si="27"/>
        <v>0</v>
      </c>
      <c r="J246" s="77">
        <f t="shared" si="28"/>
        <v>100</v>
      </c>
    </row>
    <row r="247" spans="1:10" ht="12.75">
      <c r="A247" s="46" t="s">
        <v>137</v>
      </c>
      <c r="B247" s="12" t="s">
        <v>558</v>
      </c>
      <c r="C247" s="12" t="s">
        <v>72</v>
      </c>
      <c r="D247" s="12" t="s">
        <v>66</v>
      </c>
      <c r="E247" s="13" t="s">
        <v>610</v>
      </c>
      <c r="F247" s="13" t="s">
        <v>138</v>
      </c>
      <c r="G247" s="14">
        <f>G248</f>
        <v>376.4</v>
      </c>
      <c r="H247" s="87">
        <f>H248</f>
        <v>376.4</v>
      </c>
      <c r="I247" s="14">
        <f t="shared" si="27"/>
        <v>0</v>
      </c>
      <c r="J247" s="77">
        <f t="shared" si="28"/>
        <v>100</v>
      </c>
    </row>
    <row r="248" spans="1:10" ht="12.75">
      <c r="A248" s="46" t="s">
        <v>611</v>
      </c>
      <c r="B248" s="12" t="s">
        <v>558</v>
      </c>
      <c r="C248" s="12" t="s">
        <v>72</v>
      </c>
      <c r="D248" s="12" t="s">
        <v>66</v>
      </c>
      <c r="E248" s="13" t="s">
        <v>610</v>
      </c>
      <c r="F248" s="13" t="s">
        <v>612</v>
      </c>
      <c r="G248" s="14">
        <f>G249</f>
        <v>376.4</v>
      </c>
      <c r="H248" s="87">
        <f>H249</f>
        <v>376.4</v>
      </c>
      <c r="I248" s="14">
        <f t="shared" si="27"/>
        <v>0</v>
      </c>
      <c r="J248" s="77">
        <f t="shared" si="28"/>
        <v>100</v>
      </c>
    </row>
    <row r="249" spans="1:10" ht="60.75" customHeight="1">
      <c r="A249" s="46" t="s">
        <v>617</v>
      </c>
      <c r="B249" s="12" t="s">
        <v>558</v>
      </c>
      <c r="C249" s="12" t="s">
        <v>72</v>
      </c>
      <c r="D249" s="12" t="s">
        <v>66</v>
      </c>
      <c r="E249" s="13" t="s">
        <v>610</v>
      </c>
      <c r="F249" s="13" t="s">
        <v>613</v>
      </c>
      <c r="G249" s="14">
        <v>376.4</v>
      </c>
      <c r="H249" s="87">
        <v>376.4</v>
      </c>
      <c r="I249" s="14">
        <f t="shared" si="27"/>
        <v>0</v>
      </c>
      <c r="J249" s="77">
        <f t="shared" si="28"/>
        <v>100</v>
      </c>
    </row>
    <row r="250" spans="1:19" s="58" customFormat="1" ht="16.5" customHeight="1">
      <c r="A250" s="8" t="s">
        <v>244</v>
      </c>
      <c r="B250" s="88" t="s">
        <v>558</v>
      </c>
      <c r="C250" s="88" t="s">
        <v>72</v>
      </c>
      <c r="D250" s="88" t="s">
        <v>67</v>
      </c>
      <c r="E250" s="85"/>
      <c r="F250" s="85"/>
      <c r="G250" s="30">
        <f aca="true" t="shared" si="34" ref="G250:H254">G251</f>
        <v>20000</v>
      </c>
      <c r="H250" s="105">
        <f t="shared" si="34"/>
        <v>20000</v>
      </c>
      <c r="I250" s="14">
        <f t="shared" si="27"/>
        <v>0</v>
      </c>
      <c r="J250" s="77">
        <f t="shared" si="28"/>
        <v>100</v>
      </c>
      <c r="K250" s="102"/>
      <c r="L250" s="197"/>
      <c r="M250" s="197"/>
      <c r="N250" s="197"/>
      <c r="O250" s="197"/>
      <c r="P250" s="197"/>
      <c r="Q250" s="197"/>
      <c r="R250" s="197"/>
      <c r="S250" s="197"/>
    </row>
    <row r="251" spans="1:10" ht="16.5" customHeight="1">
      <c r="A251" s="9" t="s">
        <v>666</v>
      </c>
      <c r="B251" s="12" t="s">
        <v>558</v>
      </c>
      <c r="C251" s="34" t="s">
        <v>72</v>
      </c>
      <c r="D251" s="34" t="s">
        <v>67</v>
      </c>
      <c r="E251" s="13" t="s">
        <v>668</v>
      </c>
      <c r="F251" s="84"/>
      <c r="G251" s="14">
        <f t="shared" si="34"/>
        <v>20000</v>
      </c>
      <c r="H251" s="87">
        <f t="shared" si="34"/>
        <v>20000</v>
      </c>
      <c r="I251" s="14">
        <f t="shared" si="27"/>
        <v>0</v>
      </c>
      <c r="J251" s="77">
        <f t="shared" si="28"/>
        <v>100</v>
      </c>
    </row>
    <row r="252" spans="1:10" ht="28.5" customHeight="1">
      <c r="A252" s="9" t="s">
        <v>766</v>
      </c>
      <c r="B252" s="12" t="s">
        <v>558</v>
      </c>
      <c r="C252" s="34" t="s">
        <v>72</v>
      </c>
      <c r="D252" s="34" t="s">
        <v>67</v>
      </c>
      <c r="E252" s="13" t="s">
        <v>767</v>
      </c>
      <c r="F252" s="84"/>
      <c r="G252" s="14">
        <f t="shared" si="34"/>
        <v>20000</v>
      </c>
      <c r="H252" s="87">
        <f t="shared" si="34"/>
        <v>20000</v>
      </c>
      <c r="I252" s="14">
        <f t="shared" si="27"/>
        <v>0</v>
      </c>
      <c r="J252" s="77">
        <f t="shared" si="28"/>
        <v>100</v>
      </c>
    </row>
    <row r="253" spans="1:10" ht="27" customHeight="1">
      <c r="A253" s="71" t="s">
        <v>768</v>
      </c>
      <c r="B253" s="12" t="s">
        <v>558</v>
      </c>
      <c r="C253" s="34" t="s">
        <v>72</v>
      </c>
      <c r="D253" s="34" t="s">
        <v>67</v>
      </c>
      <c r="E253" s="13" t="s">
        <v>769</v>
      </c>
      <c r="F253" s="84"/>
      <c r="G253" s="14">
        <f t="shared" si="34"/>
        <v>20000</v>
      </c>
      <c r="H253" s="87">
        <f t="shared" si="34"/>
        <v>20000</v>
      </c>
      <c r="I253" s="14">
        <f t="shared" si="27"/>
        <v>0</v>
      </c>
      <c r="J253" s="77">
        <f t="shared" si="28"/>
        <v>100</v>
      </c>
    </row>
    <row r="254" spans="1:10" ht="16.5" customHeight="1">
      <c r="A254" s="71" t="s">
        <v>137</v>
      </c>
      <c r="B254" s="12" t="s">
        <v>558</v>
      </c>
      <c r="C254" s="34" t="s">
        <v>72</v>
      </c>
      <c r="D254" s="34" t="s">
        <v>67</v>
      </c>
      <c r="E254" s="13" t="s">
        <v>769</v>
      </c>
      <c r="F254" s="84" t="s">
        <v>138</v>
      </c>
      <c r="G254" s="14">
        <f t="shared" si="34"/>
        <v>20000</v>
      </c>
      <c r="H254" s="87">
        <f t="shared" si="34"/>
        <v>20000</v>
      </c>
      <c r="I254" s="14">
        <f t="shared" si="27"/>
        <v>0</v>
      </c>
      <c r="J254" s="77">
        <f t="shared" si="28"/>
        <v>100</v>
      </c>
    </row>
    <row r="255" spans="1:10" ht="27" customHeight="1">
      <c r="A255" s="71" t="s">
        <v>182</v>
      </c>
      <c r="B255" s="12" t="s">
        <v>558</v>
      </c>
      <c r="C255" s="34" t="s">
        <v>72</v>
      </c>
      <c r="D255" s="34" t="s">
        <v>67</v>
      </c>
      <c r="E255" s="13" t="s">
        <v>769</v>
      </c>
      <c r="F255" s="84" t="s">
        <v>139</v>
      </c>
      <c r="G255" s="14">
        <v>20000</v>
      </c>
      <c r="H255" s="87">
        <v>20000</v>
      </c>
      <c r="I255" s="14">
        <f t="shared" si="27"/>
        <v>0</v>
      </c>
      <c r="J255" s="77">
        <f t="shared" si="28"/>
        <v>100</v>
      </c>
    </row>
    <row r="256" spans="1:10" ht="12.75">
      <c r="A256" s="60" t="s">
        <v>325</v>
      </c>
      <c r="B256" s="37" t="s">
        <v>558</v>
      </c>
      <c r="C256" s="29" t="s">
        <v>69</v>
      </c>
      <c r="D256" s="29" t="s">
        <v>36</v>
      </c>
      <c r="E256" s="57"/>
      <c r="F256" s="29"/>
      <c r="G256" s="30">
        <f aca="true" t="shared" si="35" ref="G256:H260">G257</f>
        <v>1925.3999999999999</v>
      </c>
      <c r="H256" s="105">
        <f t="shared" si="35"/>
        <v>1668.7</v>
      </c>
      <c r="I256" s="14">
        <f t="shared" si="27"/>
        <v>256.6999999999998</v>
      </c>
      <c r="J256" s="77">
        <f t="shared" si="28"/>
        <v>86.66770541186249</v>
      </c>
    </row>
    <row r="257" spans="1:10" ht="12.75">
      <c r="A257" s="60" t="s">
        <v>11</v>
      </c>
      <c r="B257" s="37" t="s">
        <v>558</v>
      </c>
      <c r="C257" s="29" t="s">
        <v>69</v>
      </c>
      <c r="D257" s="29" t="s">
        <v>75</v>
      </c>
      <c r="E257" s="57"/>
      <c r="F257" s="29"/>
      <c r="G257" s="30">
        <f t="shared" si="35"/>
        <v>1925.3999999999999</v>
      </c>
      <c r="H257" s="105">
        <f t="shared" si="35"/>
        <v>1668.7</v>
      </c>
      <c r="I257" s="14">
        <f t="shared" si="27"/>
        <v>256.6999999999998</v>
      </c>
      <c r="J257" s="77">
        <f t="shared" si="28"/>
        <v>86.66770541186249</v>
      </c>
    </row>
    <row r="258" spans="1:10" ht="25.5">
      <c r="A258" s="46" t="s">
        <v>309</v>
      </c>
      <c r="B258" s="12" t="s">
        <v>558</v>
      </c>
      <c r="C258" s="13" t="s">
        <v>69</v>
      </c>
      <c r="D258" s="13" t="s">
        <v>75</v>
      </c>
      <c r="E258" s="13" t="s">
        <v>310</v>
      </c>
      <c r="F258" s="13"/>
      <c r="G258" s="14">
        <f t="shared" si="35"/>
        <v>1925.3999999999999</v>
      </c>
      <c r="H258" s="87">
        <f t="shared" si="35"/>
        <v>1668.7</v>
      </c>
      <c r="I258" s="14">
        <f t="shared" si="27"/>
        <v>256.6999999999998</v>
      </c>
      <c r="J258" s="77">
        <f t="shared" si="28"/>
        <v>86.66770541186249</v>
      </c>
    </row>
    <row r="259" spans="1:10" ht="25.5">
      <c r="A259" s="46" t="s">
        <v>163</v>
      </c>
      <c r="B259" s="12" t="s">
        <v>558</v>
      </c>
      <c r="C259" s="13" t="s">
        <v>69</v>
      </c>
      <c r="D259" s="13" t="s">
        <v>75</v>
      </c>
      <c r="E259" s="13" t="s">
        <v>311</v>
      </c>
      <c r="F259" s="13"/>
      <c r="G259" s="14">
        <f t="shared" si="35"/>
        <v>1925.3999999999999</v>
      </c>
      <c r="H259" s="87">
        <f t="shared" si="35"/>
        <v>1668.7</v>
      </c>
      <c r="I259" s="14">
        <f t="shared" si="27"/>
        <v>256.6999999999998</v>
      </c>
      <c r="J259" s="77">
        <f t="shared" si="28"/>
        <v>86.66770541186249</v>
      </c>
    </row>
    <row r="260" spans="1:10" ht="12.75">
      <c r="A260" s="46" t="s">
        <v>312</v>
      </c>
      <c r="B260" s="12" t="s">
        <v>558</v>
      </c>
      <c r="C260" s="13" t="s">
        <v>69</v>
      </c>
      <c r="D260" s="13" t="s">
        <v>75</v>
      </c>
      <c r="E260" s="13" t="s">
        <v>313</v>
      </c>
      <c r="F260" s="13"/>
      <c r="G260" s="14">
        <f t="shared" si="35"/>
        <v>1925.3999999999999</v>
      </c>
      <c r="H260" s="87">
        <f t="shared" si="35"/>
        <v>1668.7</v>
      </c>
      <c r="I260" s="14">
        <f t="shared" si="27"/>
        <v>256.6999999999998</v>
      </c>
      <c r="J260" s="77">
        <f t="shared" si="28"/>
        <v>86.66770541186249</v>
      </c>
    </row>
    <row r="261" spans="1:10" ht="38.25">
      <c r="A261" s="46" t="s">
        <v>393</v>
      </c>
      <c r="B261" s="12" t="s">
        <v>558</v>
      </c>
      <c r="C261" s="13" t="s">
        <v>69</v>
      </c>
      <c r="D261" s="13" t="s">
        <v>75</v>
      </c>
      <c r="E261" s="13" t="s">
        <v>314</v>
      </c>
      <c r="F261" s="13"/>
      <c r="G261" s="14">
        <f>G262+G267</f>
        <v>1925.3999999999999</v>
      </c>
      <c r="H261" s="87">
        <f>H262+H267</f>
        <v>1668.7</v>
      </c>
      <c r="I261" s="14">
        <f t="shared" si="27"/>
        <v>256.6999999999998</v>
      </c>
      <c r="J261" s="77">
        <f t="shared" si="28"/>
        <v>86.66770541186249</v>
      </c>
    </row>
    <row r="262" spans="1:10" ht="38.25">
      <c r="A262" s="46" t="s">
        <v>110</v>
      </c>
      <c r="B262" s="12" t="s">
        <v>558</v>
      </c>
      <c r="C262" s="13" t="s">
        <v>69</v>
      </c>
      <c r="D262" s="13" t="s">
        <v>75</v>
      </c>
      <c r="E262" s="13" t="s">
        <v>314</v>
      </c>
      <c r="F262" s="13" t="s">
        <v>111</v>
      </c>
      <c r="G262" s="14">
        <f>G263</f>
        <v>1846.8999999999999</v>
      </c>
      <c r="H262" s="87">
        <f>H263</f>
        <v>1619.6000000000001</v>
      </c>
      <c r="I262" s="14">
        <f t="shared" si="27"/>
        <v>227.29999999999973</v>
      </c>
      <c r="J262" s="77">
        <f t="shared" si="28"/>
        <v>87.6928907899724</v>
      </c>
    </row>
    <row r="263" spans="1:10" ht="12.75">
      <c r="A263" s="46" t="s">
        <v>101</v>
      </c>
      <c r="B263" s="12" t="s">
        <v>558</v>
      </c>
      <c r="C263" s="13" t="s">
        <v>69</v>
      </c>
      <c r="D263" s="13" t="s">
        <v>75</v>
      </c>
      <c r="E263" s="13" t="s">
        <v>314</v>
      </c>
      <c r="F263" s="13" t="s">
        <v>102</v>
      </c>
      <c r="G263" s="14">
        <f>G264+G265+G266</f>
        <v>1846.8999999999999</v>
      </c>
      <c r="H263" s="87">
        <f>H264+H265+H266</f>
        <v>1619.6000000000001</v>
      </c>
      <c r="I263" s="14">
        <f t="shared" si="27"/>
        <v>227.29999999999973</v>
      </c>
      <c r="J263" s="77">
        <f t="shared" si="28"/>
        <v>87.6928907899724</v>
      </c>
    </row>
    <row r="264" spans="1:10" ht="12.75">
      <c r="A264" s="46" t="s">
        <v>176</v>
      </c>
      <c r="B264" s="12" t="s">
        <v>558</v>
      </c>
      <c r="C264" s="13" t="s">
        <v>69</v>
      </c>
      <c r="D264" s="13" t="s">
        <v>75</v>
      </c>
      <c r="E264" s="13" t="s">
        <v>314</v>
      </c>
      <c r="F264" s="13" t="s">
        <v>103</v>
      </c>
      <c r="G264" s="14">
        <f>1225.8+20+164.3</f>
        <v>1410.1</v>
      </c>
      <c r="H264" s="87">
        <v>1260.4</v>
      </c>
      <c r="I264" s="14">
        <f t="shared" si="27"/>
        <v>149.69999999999982</v>
      </c>
      <c r="J264" s="77">
        <f t="shared" si="28"/>
        <v>89.38373165023759</v>
      </c>
    </row>
    <row r="265" spans="1:10" ht="25.5">
      <c r="A265" s="46" t="s">
        <v>104</v>
      </c>
      <c r="B265" s="12" t="s">
        <v>558</v>
      </c>
      <c r="C265" s="13" t="s">
        <v>69</v>
      </c>
      <c r="D265" s="13" t="s">
        <v>75</v>
      </c>
      <c r="E265" s="13" t="s">
        <v>314</v>
      </c>
      <c r="F265" s="13" t="s">
        <v>105</v>
      </c>
      <c r="G265" s="14">
        <f>70-39-18.2</f>
        <v>12.8</v>
      </c>
      <c r="H265" s="87">
        <v>12.7</v>
      </c>
      <c r="I265" s="14">
        <f t="shared" si="27"/>
        <v>0.10000000000000142</v>
      </c>
      <c r="J265" s="77">
        <f t="shared" si="28"/>
        <v>99.21874999999999</v>
      </c>
    </row>
    <row r="266" spans="1:10" ht="25.5">
      <c r="A266" s="46" t="s">
        <v>178</v>
      </c>
      <c r="B266" s="12" t="s">
        <v>558</v>
      </c>
      <c r="C266" s="13" t="s">
        <v>69</v>
      </c>
      <c r="D266" s="13" t="s">
        <v>75</v>
      </c>
      <c r="E266" s="13" t="s">
        <v>314</v>
      </c>
      <c r="F266" s="13" t="s">
        <v>177</v>
      </c>
      <c r="G266" s="14">
        <f>370.1+53.9</f>
        <v>424</v>
      </c>
      <c r="H266" s="87">
        <v>346.5</v>
      </c>
      <c r="I266" s="14">
        <f aca="true" t="shared" si="36" ref="I266:I329">G266-H266</f>
        <v>77.5</v>
      </c>
      <c r="J266" s="77">
        <f aca="true" t="shared" si="37" ref="J266:J329">H266/G266*100</f>
        <v>81.72169811320755</v>
      </c>
    </row>
    <row r="267" spans="1:10" ht="25.5">
      <c r="A267" s="46" t="s">
        <v>770</v>
      </c>
      <c r="B267" s="12" t="s">
        <v>558</v>
      </c>
      <c r="C267" s="13" t="s">
        <v>69</v>
      </c>
      <c r="D267" s="13" t="s">
        <v>75</v>
      </c>
      <c r="E267" s="13" t="s">
        <v>314</v>
      </c>
      <c r="F267" s="13" t="s">
        <v>113</v>
      </c>
      <c r="G267" s="14">
        <f>G268</f>
        <v>78.5</v>
      </c>
      <c r="H267" s="87">
        <f>H268</f>
        <v>49.1</v>
      </c>
      <c r="I267" s="14">
        <f t="shared" si="36"/>
        <v>29.4</v>
      </c>
      <c r="J267" s="77">
        <f t="shared" si="37"/>
        <v>62.54777070063694</v>
      </c>
    </row>
    <row r="268" spans="1:10" ht="25.5">
      <c r="A268" s="46" t="s">
        <v>106</v>
      </c>
      <c r="B268" s="12" t="s">
        <v>558</v>
      </c>
      <c r="C268" s="13" t="s">
        <v>69</v>
      </c>
      <c r="D268" s="13" t="s">
        <v>75</v>
      </c>
      <c r="E268" s="13" t="s">
        <v>314</v>
      </c>
      <c r="F268" s="13" t="s">
        <v>107</v>
      </c>
      <c r="G268" s="14">
        <f>G269</f>
        <v>78.5</v>
      </c>
      <c r="H268" s="87">
        <f>H269</f>
        <v>49.1</v>
      </c>
      <c r="I268" s="14">
        <f t="shared" si="36"/>
        <v>29.4</v>
      </c>
      <c r="J268" s="77">
        <f t="shared" si="37"/>
        <v>62.54777070063694</v>
      </c>
    </row>
    <row r="269" spans="1:10" ht="25.5">
      <c r="A269" s="46" t="s">
        <v>108</v>
      </c>
      <c r="B269" s="12" t="s">
        <v>558</v>
      </c>
      <c r="C269" s="13" t="s">
        <v>69</v>
      </c>
      <c r="D269" s="13" t="s">
        <v>75</v>
      </c>
      <c r="E269" s="13" t="s">
        <v>314</v>
      </c>
      <c r="F269" s="13" t="s">
        <v>109</v>
      </c>
      <c r="G269" s="14">
        <f>87+19-27.5</f>
        <v>78.5</v>
      </c>
      <c r="H269" s="87">
        <v>49.1</v>
      </c>
      <c r="I269" s="14">
        <f t="shared" si="36"/>
        <v>29.4</v>
      </c>
      <c r="J269" s="77">
        <f t="shared" si="37"/>
        <v>62.54777070063694</v>
      </c>
    </row>
    <row r="270" spans="1:10" ht="12.75">
      <c r="A270" s="60" t="s">
        <v>62</v>
      </c>
      <c r="B270" s="37" t="s">
        <v>558</v>
      </c>
      <c r="C270" s="29" t="s">
        <v>71</v>
      </c>
      <c r="D270" s="29" t="s">
        <v>36</v>
      </c>
      <c r="E270" s="13"/>
      <c r="F270" s="13"/>
      <c r="G270" s="30">
        <f>G272+G277+G292</f>
        <v>6819.1</v>
      </c>
      <c r="H270" s="105">
        <f>H272+H277+H292</f>
        <v>6075.4</v>
      </c>
      <c r="I270" s="14">
        <f t="shared" si="36"/>
        <v>743.7000000000007</v>
      </c>
      <c r="J270" s="77">
        <f t="shared" si="37"/>
        <v>89.09386869234942</v>
      </c>
    </row>
    <row r="271" spans="1:10" ht="12.75">
      <c r="A271" s="60" t="s">
        <v>58</v>
      </c>
      <c r="B271" s="37" t="s">
        <v>558</v>
      </c>
      <c r="C271" s="29" t="s">
        <v>71</v>
      </c>
      <c r="D271" s="29" t="s">
        <v>66</v>
      </c>
      <c r="E271" s="13"/>
      <c r="F271" s="13"/>
      <c r="G271" s="30">
        <f aca="true" t="shared" si="38" ref="G271:H275">G272</f>
        <v>3000</v>
      </c>
      <c r="H271" s="105">
        <f t="shared" si="38"/>
        <v>2910.1</v>
      </c>
      <c r="I271" s="14">
        <f t="shared" si="36"/>
        <v>89.90000000000009</v>
      </c>
      <c r="J271" s="77">
        <f t="shared" si="37"/>
        <v>97.00333333333333</v>
      </c>
    </row>
    <row r="272" spans="1:10" ht="12.75">
      <c r="A272" s="46" t="s">
        <v>18</v>
      </c>
      <c r="B272" s="12" t="s">
        <v>558</v>
      </c>
      <c r="C272" s="13" t="s">
        <v>71</v>
      </c>
      <c r="D272" s="13" t="s">
        <v>66</v>
      </c>
      <c r="E272" s="13" t="s">
        <v>253</v>
      </c>
      <c r="F272" s="13"/>
      <c r="G272" s="14">
        <f t="shared" si="38"/>
        <v>3000</v>
      </c>
      <c r="H272" s="87">
        <f t="shared" si="38"/>
        <v>2910.1</v>
      </c>
      <c r="I272" s="14">
        <f t="shared" si="36"/>
        <v>89.90000000000009</v>
      </c>
      <c r="J272" s="77">
        <f t="shared" si="37"/>
        <v>97.00333333333333</v>
      </c>
    </row>
    <row r="273" spans="1:10" ht="12.75">
      <c r="A273" s="46" t="s">
        <v>544</v>
      </c>
      <c r="B273" s="12" t="s">
        <v>558</v>
      </c>
      <c r="C273" s="13" t="s">
        <v>71</v>
      </c>
      <c r="D273" s="13" t="s">
        <v>66</v>
      </c>
      <c r="E273" s="13" t="s">
        <v>547</v>
      </c>
      <c r="F273" s="13"/>
      <c r="G273" s="14">
        <f t="shared" si="38"/>
        <v>3000</v>
      </c>
      <c r="H273" s="87">
        <f t="shared" si="38"/>
        <v>2910.1</v>
      </c>
      <c r="I273" s="14">
        <f t="shared" si="36"/>
        <v>89.90000000000009</v>
      </c>
      <c r="J273" s="77">
        <f t="shared" si="37"/>
        <v>97.00333333333333</v>
      </c>
    </row>
    <row r="274" spans="1:10" ht="12.75">
      <c r="A274" s="46" t="s">
        <v>126</v>
      </c>
      <c r="B274" s="12" t="s">
        <v>558</v>
      </c>
      <c r="C274" s="13" t="s">
        <v>71</v>
      </c>
      <c r="D274" s="13" t="s">
        <v>66</v>
      </c>
      <c r="E274" s="13" t="s">
        <v>547</v>
      </c>
      <c r="F274" s="13" t="s">
        <v>127</v>
      </c>
      <c r="G274" s="14">
        <f t="shared" si="38"/>
        <v>3000</v>
      </c>
      <c r="H274" s="87">
        <f t="shared" si="38"/>
        <v>2910.1</v>
      </c>
      <c r="I274" s="14">
        <f t="shared" si="36"/>
        <v>89.90000000000009</v>
      </c>
      <c r="J274" s="77">
        <f t="shared" si="37"/>
        <v>97.00333333333333</v>
      </c>
    </row>
    <row r="275" spans="1:10" ht="12.75">
      <c r="A275" s="46" t="s">
        <v>128</v>
      </c>
      <c r="B275" s="12" t="s">
        <v>558</v>
      </c>
      <c r="C275" s="13" t="s">
        <v>71</v>
      </c>
      <c r="D275" s="13" t="s">
        <v>66</v>
      </c>
      <c r="E275" s="13" t="s">
        <v>547</v>
      </c>
      <c r="F275" s="13" t="s">
        <v>129</v>
      </c>
      <c r="G275" s="14">
        <f t="shared" si="38"/>
        <v>3000</v>
      </c>
      <c r="H275" s="87">
        <f t="shared" si="38"/>
        <v>2910.1</v>
      </c>
      <c r="I275" s="14">
        <f t="shared" si="36"/>
        <v>89.90000000000009</v>
      </c>
      <c r="J275" s="77">
        <f t="shared" si="37"/>
        <v>97.00333333333333</v>
      </c>
    </row>
    <row r="276" spans="1:10" ht="12.75">
      <c r="A276" s="46" t="s">
        <v>130</v>
      </c>
      <c r="B276" s="12" t="s">
        <v>558</v>
      </c>
      <c r="C276" s="13" t="s">
        <v>71</v>
      </c>
      <c r="D276" s="13" t="s">
        <v>66</v>
      </c>
      <c r="E276" s="13" t="s">
        <v>547</v>
      </c>
      <c r="F276" s="13" t="s">
        <v>131</v>
      </c>
      <c r="G276" s="14">
        <v>3000</v>
      </c>
      <c r="H276" s="87">
        <v>2910.1</v>
      </c>
      <c r="I276" s="14">
        <f t="shared" si="36"/>
        <v>89.90000000000009</v>
      </c>
      <c r="J276" s="77">
        <f t="shared" si="37"/>
        <v>97.00333333333333</v>
      </c>
    </row>
    <row r="277" spans="1:10" ht="12.75">
      <c r="A277" s="60" t="s">
        <v>61</v>
      </c>
      <c r="B277" s="37" t="s">
        <v>558</v>
      </c>
      <c r="C277" s="37" t="s">
        <v>71</v>
      </c>
      <c r="D277" s="37" t="s">
        <v>70</v>
      </c>
      <c r="E277" s="12"/>
      <c r="F277" s="12"/>
      <c r="G277" s="10">
        <f>G278</f>
        <v>841.5000000000001</v>
      </c>
      <c r="H277" s="107">
        <f>H278</f>
        <v>838.4000000000001</v>
      </c>
      <c r="I277" s="14">
        <f t="shared" si="36"/>
        <v>3.1000000000000227</v>
      </c>
      <c r="J277" s="77">
        <f t="shared" si="37"/>
        <v>99.63161021984551</v>
      </c>
    </row>
    <row r="278" spans="1:10" ht="25.5">
      <c r="A278" s="46" t="s">
        <v>565</v>
      </c>
      <c r="B278" s="12" t="s">
        <v>558</v>
      </c>
      <c r="C278" s="13" t="s">
        <v>71</v>
      </c>
      <c r="D278" s="13" t="s">
        <v>70</v>
      </c>
      <c r="E278" s="45" t="s">
        <v>186</v>
      </c>
      <c r="F278" s="13"/>
      <c r="G278" s="14">
        <f>G279</f>
        <v>841.5000000000001</v>
      </c>
      <c r="H278" s="87">
        <f>H279</f>
        <v>838.4000000000001</v>
      </c>
      <c r="I278" s="14">
        <f t="shared" si="36"/>
        <v>3.1000000000000227</v>
      </c>
      <c r="J278" s="77">
        <f t="shared" si="37"/>
        <v>99.63161021984551</v>
      </c>
    </row>
    <row r="279" spans="1:10" ht="30" customHeight="1">
      <c r="A279" s="46" t="s">
        <v>281</v>
      </c>
      <c r="B279" s="12" t="s">
        <v>558</v>
      </c>
      <c r="C279" s="13" t="s">
        <v>71</v>
      </c>
      <c r="D279" s="13" t="s">
        <v>70</v>
      </c>
      <c r="E279" s="45" t="s">
        <v>436</v>
      </c>
      <c r="F279" s="13"/>
      <c r="G279" s="14">
        <f>G280+G286+G289+G283</f>
        <v>841.5000000000001</v>
      </c>
      <c r="H279" s="87">
        <f>H280+H286+H289+H283</f>
        <v>838.4000000000001</v>
      </c>
      <c r="I279" s="14">
        <f t="shared" si="36"/>
        <v>3.1000000000000227</v>
      </c>
      <c r="J279" s="77">
        <f t="shared" si="37"/>
        <v>99.63161021984551</v>
      </c>
    </row>
    <row r="280" spans="1:10" ht="18" customHeight="1">
      <c r="A280" s="46" t="s">
        <v>187</v>
      </c>
      <c r="B280" s="12" t="s">
        <v>558</v>
      </c>
      <c r="C280" s="13" t="s">
        <v>71</v>
      </c>
      <c r="D280" s="13" t="s">
        <v>70</v>
      </c>
      <c r="E280" s="45" t="s">
        <v>437</v>
      </c>
      <c r="F280" s="13"/>
      <c r="G280" s="11">
        <f>G281</f>
        <v>623.7</v>
      </c>
      <c r="H280" s="108">
        <f>H281</f>
        <v>620.7</v>
      </c>
      <c r="I280" s="14">
        <f t="shared" si="36"/>
        <v>3</v>
      </c>
      <c r="J280" s="77">
        <f t="shared" si="37"/>
        <v>99.51899951899952</v>
      </c>
    </row>
    <row r="281" spans="1:10" ht="20.25" customHeight="1">
      <c r="A281" s="46" t="s">
        <v>126</v>
      </c>
      <c r="B281" s="12" t="s">
        <v>558</v>
      </c>
      <c r="C281" s="13" t="s">
        <v>71</v>
      </c>
      <c r="D281" s="13" t="s">
        <v>70</v>
      </c>
      <c r="E281" s="45" t="s">
        <v>437</v>
      </c>
      <c r="F281" s="13" t="s">
        <v>127</v>
      </c>
      <c r="G281" s="11">
        <f>G282</f>
        <v>623.7</v>
      </c>
      <c r="H281" s="108">
        <f>H282</f>
        <v>620.7</v>
      </c>
      <c r="I281" s="14">
        <f t="shared" si="36"/>
        <v>3</v>
      </c>
      <c r="J281" s="77">
        <f t="shared" si="37"/>
        <v>99.51899951899952</v>
      </c>
    </row>
    <row r="282" spans="1:10" ht="21" customHeight="1">
      <c r="A282" s="46" t="s">
        <v>132</v>
      </c>
      <c r="B282" s="12" t="s">
        <v>558</v>
      </c>
      <c r="C282" s="13" t="s">
        <v>71</v>
      </c>
      <c r="D282" s="13" t="s">
        <v>70</v>
      </c>
      <c r="E282" s="45" t="s">
        <v>437</v>
      </c>
      <c r="F282" s="13" t="s">
        <v>133</v>
      </c>
      <c r="G282" s="11">
        <f>552.6+68.1+3</f>
        <v>623.7</v>
      </c>
      <c r="H282" s="108">
        <v>620.7</v>
      </c>
      <c r="I282" s="14">
        <f t="shared" si="36"/>
        <v>3</v>
      </c>
      <c r="J282" s="77">
        <f t="shared" si="37"/>
        <v>99.51899951899952</v>
      </c>
    </row>
    <row r="283" spans="1:10" ht="22.5" customHeight="1">
      <c r="A283" s="46" t="s">
        <v>188</v>
      </c>
      <c r="B283" s="12" t="s">
        <v>558</v>
      </c>
      <c r="C283" s="13" t="s">
        <v>71</v>
      </c>
      <c r="D283" s="13" t="s">
        <v>70</v>
      </c>
      <c r="E283" s="45" t="s">
        <v>438</v>
      </c>
      <c r="F283" s="13"/>
      <c r="G283" s="11">
        <f>G284</f>
        <v>9.6</v>
      </c>
      <c r="H283" s="108">
        <f>H284</f>
        <v>9.6</v>
      </c>
      <c r="I283" s="14">
        <f t="shared" si="36"/>
        <v>0</v>
      </c>
      <c r="J283" s="77">
        <f t="shared" si="37"/>
        <v>100</v>
      </c>
    </row>
    <row r="284" spans="1:10" ht="15.75" customHeight="1">
      <c r="A284" s="46" t="s">
        <v>126</v>
      </c>
      <c r="B284" s="12" t="s">
        <v>558</v>
      </c>
      <c r="C284" s="13" t="s">
        <v>71</v>
      </c>
      <c r="D284" s="13" t="s">
        <v>70</v>
      </c>
      <c r="E284" s="45" t="s">
        <v>438</v>
      </c>
      <c r="F284" s="13" t="s">
        <v>127</v>
      </c>
      <c r="G284" s="11">
        <f>G285</f>
        <v>9.6</v>
      </c>
      <c r="H284" s="108">
        <f>H285</f>
        <v>9.6</v>
      </c>
      <c r="I284" s="14">
        <f t="shared" si="36"/>
        <v>0</v>
      </c>
      <c r="J284" s="77">
        <f t="shared" si="37"/>
        <v>100</v>
      </c>
    </row>
    <row r="285" spans="1:10" ht="17.25" customHeight="1">
      <c r="A285" s="46" t="s">
        <v>132</v>
      </c>
      <c r="B285" s="12" t="s">
        <v>558</v>
      </c>
      <c r="C285" s="13" t="s">
        <v>71</v>
      </c>
      <c r="D285" s="13" t="s">
        <v>70</v>
      </c>
      <c r="E285" s="45" t="s">
        <v>438</v>
      </c>
      <c r="F285" s="13" t="s">
        <v>133</v>
      </c>
      <c r="G285" s="11">
        <f>7.2+2.4</f>
        <v>9.6</v>
      </c>
      <c r="H285" s="108">
        <v>9.6</v>
      </c>
      <c r="I285" s="14">
        <f t="shared" si="36"/>
        <v>0</v>
      </c>
      <c r="J285" s="77">
        <f t="shared" si="37"/>
        <v>100</v>
      </c>
    </row>
    <row r="286" spans="1:10" ht="38.25">
      <c r="A286" s="46" t="s">
        <v>189</v>
      </c>
      <c r="B286" s="12" t="s">
        <v>558</v>
      </c>
      <c r="C286" s="13" t="s">
        <v>71</v>
      </c>
      <c r="D286" s="13" t="s">
        <v>70</v>
      </c>
      <c r="E286" s="45" t="s">
        <v>439</v>
      </c>
      <c r="F286" s="13"/>
      <c r="G286" s="11">
        <f>G287</f>
        <v>138</v>
      </c>
      <c r="H286" s="108">
        <f>H287</f>
        <v>137.9</v>
      </c>
      <c r="I286" s="14">
        <f t="shared" si="36"/>
        <v>0.09999999999999432</v>
      </c>
      <c r="J286" s="77">
        <f t="shared" si="37"/>
        <v>99.92753623188406</v>
      </c>
    </row>
    <row r="287" spans="1:10" ht="12.75">
      <c r="A287" s="46" t="s">
        <v>126</v>
      </c>
      <c r="B287" s="12" t="s">
        <v>558</v>
      </c>
      <c r="C287" s="13" t="s">
        <v>71</v>
      </c>
      <c r="D287" s="13" t="s">
        <v>70</v>
      </c>
      <c r="E287" s="45" t="s">
        <v>439</v>
      </c>
      <c r="F287" s="13" t="s">
        <v>127</v>
      </c>
      <c r="G287" s="11">
        <f>G288</f>
        <v>138</v>
      </c>
      <c r="H287" s="108">
        <f>H288</f>
        <v>137.9</v>
      </c>
      <c r="I287" s="14">
        <f t="shared" si="36"/>
        <v>0.09999999999999432</v>
      </c>
      <c r="J287" s="77">
        <f t="shared" si="37"/>
        <v>99.92753623188406</v>
      </c>
    </row>
    <row r="288" spans="1:10" ht="12.75">
      <c r="A288" s="46" t="s">
        <v>132</v>
      </c>
      <c r="B288" s="12" t="s">
        <v>558</v>
      </c>
      <c r="C288" s="13" t="s">
        <v>71</v>
      </c>
      <c r="D288" s="13" t="s">
        <v>70</v>
      </c>
      <c r="E288" s="45" t="s">
        <v>439</v>
      </c>
      <c r="F288" s="13" t="s">
        <v>133</v>
      </c>
      <c r="G288" s="11">
        <f>160.2-19.2-3</f>
        <v>138</v>
      </c>
      <c r="H288" s="108">
        <v>137.9</v>
      </c>
      <c r="I288" s="14">
        <f t="shared" si="36"/>
        <v>0.09999999999999432</v>
      </c>
      <c r="J288" s="77">
        <f t="shared" si="37"/>
        <v>99.92753623188406</v>
      </c>
    </row>
    <row r="289" spans="1:10" ht="25.5">
      <c r="A289" s="46" t="s">
        <v>190</v>
      </c>
      <c r="B289" s="12" t="s">
        <v>558</v>
      </c>
      <c r="C289" s="13" t="s">
        <v>71</v>
      </c>
      <c r="D289" s="13" t="s">
        <v>70</v>
      </c>
      <c r="E289" s="45" t="s">
        <v>440</v>
      </c>
      <c r="F289" s="13"/>
      <c r="G289" s="11">
        <f>G290</f>
        <v>70.2</v>
      </c>
      <c r="H289" s="108">
        <f>H290</f>
        <v>70.2</v>
      </c>
      <c r="I289" s="14">
        <f t="shared" si="36"/>
        <v>0</v>
      </c>
      <c r="J289" s="77">
        <f t="shared" si="37"/>
        <v>100</v>
      </c>
    </row>
    <row r="290" spans="1:10" ht="12.75">
      <c r="A290" s="46" t="s">
        <v>126</v>
      </c>
      <c r="B290" s="12" t="s">
        <v>558</v>
      </c>
      <c r="C290" s="13" t="s">
        <v>71</v>
      </c>
      <c r="D290" s="13" t="s">
        <v>70</v>
      </c>
      <c r="E290" s="45" t="s">
        <v>440</v>
      </c>
      <c r="F290" s="13" t="s">
        <v>127</v>
      </c>
      <c r="G290" s="11">
        <f>G291</f>
        <v>70.2</v>
      </c>
      <c r="H290" s="108">
        <f>H291</f>
        <v>70.2</v>
      </c>
      <c r="I290" s="14">
        <f t="shared" si="36"/>
        <v>0</v>
      </c>
      <c r="J290" s="77">
        <f t="shared" si="37"/>
        <v>100</v>
      </c>
    </row>
    <row r="291" spans="1:10" ht="12.75">
      <c r="A291" s="46" t="s">
        <v>132</v>
      </c>
      <c r="B291" s="12" t="s">
        <v>558</v>
      </c>
      <c r="C291" s="13" t="s">
        <v>71</v>
      </c>
      <c r="D291" s="13" t="s">
        <v>70</v>
      </c>
      <c r="E291" s="45" t="s">
        <v>440</v>
      </c>
      <c r="F291" s="13" t="s">
        <v>133</v>
      </c>
      <c r="G291" s="11">
        <f>80-9.8</f>
        <v>70.2</v>
      </c>
      <c r="H291" s="108">
        <v>70.2</v>
      </c>
      <c r="I291" s="14">
        <f t="shared" si="36"/>
        <v>0</v>
      </c>
      <c r="J291" s="77">
        <f t="shared" si="37"/>
        <v>100</v>
      </c>
    </row>
    <row r="292" spans="1:19" s="58" customFormat="1" ht="18" customHeight="1">
      <c r="A292" s="65" t="s">
        <v>165</v>
      </c>
      <c r="B292" s="37" t="s">
        <v>558</v>
      </c>
      <c r="C292" s="29" t="s">
        <v>71</v>
      </c>
      <c r="D292" s="29" t="s">
        <v>76</v>
      </c>
      <c r="E292" s="29"/>
      <c r="F292" s="29"/>
      <c r="G292" s="10">
        <f>G306+G293</f>
        <v>2977.6</v>
      </c>
      <c r="H292" s="107">
        <f>H306+H293</f>
        <v>2326.9</v>
      </c>
      <c r="I292" s="14">
        <f t="shared" si="36"/>
        <v>650.6999999999998</v>
      </c>
      <c r="J292" s="77">
        <f t="shared" si="37"/>
        <v>78.14682966147232</v>
      </c>
      <c r="K292" s="102"/>
      <c r="L292" s="197"/>
      <c r="M292" s="197"/>
      <c r="N292" s="197"/>
      <c r="O292" s="197"/>
      <c r="P292" s="197"/>
      <c r="Q292" s="197"/>
      <c r="R292" s="197"/>
      <c r="S292" s="197"/>
    </row>
    <row r="293" spans="1:10" ht="25.5">
      <c r="A293" s="46" t="s">
        <v>166</v>
      </c>
      <c r="B293" s="12" t="s">
        <v>558</v>
      </c>
      <c r="C293" s="13" t="s">
        <v>71</v>
      </c>
      <c r="D293" s="13" t="s">
        <v>76</v>
      </c>
      <c r="E293" s="13" t="s">
        <v>310</v>
      </c>
      <c r="F293" s="13"/>
      <c r="G293" s="14">
        <f aca="true" t="shared" si="39" ref="G293:H295">G294</f>
        <v>2300</v>
      </c>
      <c r="H293" s="87">
        <f t="shared" si="39"/>
        <v>1819.8</v>
      </c>
      <c r="I293" s="14">
        <f t="shared" si="36"/>
        <v>480.20000000000005</v>
      </c>
      <c r="J293" s="77">
        <f t="shared" si="37"/>
        <v>79.12173913043478</v>
      </c>
    </row>
    <row r="294" spans="1:10" ht="25.5">
      <c r="A294" s="46" t="s">
        <v>163</v>
      </c>
      <c r="B294" s="12" t="s">
        <v>558</v>
      </c>
      <c r="C294" s="13" t="s">
        <v>71</v>
      </c>
      <c r="D294" s="13" t="s">
        <v>76</v>
      </c>
      <c r="E294" s="32" t="s">
        <v>311</v>
      </c>
      <c r="F294" s="13"/>
      <c r="G294" s="14">
        <f t="shared" si="39"/>
        <v>2300</v>
      </c>
      <c r="H294" s="87">
        <f t="shared" si="39"/>
        <v>1819.8</v>
      </c>
      <c r="I294" s="14">
        <f t="shared" si="36"/>
        <v>480.20000000000005</v>
      </c>
      <c r="J294" s="77">
        <f t="shared" si="37"/>
        <v>79.12173913043478</v>
      </c>
    </row>
    <row r="295" spans="1:10" ht="12.75">
      <c r="A295" s="46" t="s">
        <v>312</v>
      </c>
      <c r="B295" s="12" t="s">
        <v>558</v>
      </c>
      <c r="C295" s="13" t="s">
        <v>71</v>
      </c>
      <c r="D295" s="13" t="s">
        <v>76</v>
      </c>
      <c r="E295" s="32" t="s">
        <v>313</v>
      </c>
      <c r="F295" s="13"/>
      <c r="G295" s="14">
        <f t="shared" si="39"/>
        <v>2300</v>
      </c>
      <c r="H295" s="87">
        <f t="shared" si="39"/>
        <v>1819.8</v>
      </c>
      <c r="I295" s="14">
        <f t="shared" si="36"/>
        <v>480.20000000000005</v>
      </c>
      <c r="J295" s="77">
        <f t="shared" si="37"/>
        <v>79.12173913043478</v>
      </c>
    </row>
    <row r="296" spans="1:10" ht="30" customHeight="1">
      <c r="A296" s="46" t="s">
        <v>403</v>
      </c>
      <c r="B296" s="12" t="s">
        <v>558</v>
      </c>
      <c r="C296" s="13" t="s">
        <v>71</v>
      </c>
      <c r="D296" s="13" t="s">
        <v>76</v>
      </c>
      <c r="E296" s="32" t="s">
        <v>342</v>
      </c>
      <c r="F296" s="13"/>
      <c r="G296" s="14">
        <f>G297+G302</f>
        <v>2300</v>
      </c>
      <c r="H296" s="87">
        <f>H297+H302</f>
        <v>1819.8</v>
      </c>
      <c r="I296" s="14">
        <f t="shared" si="36"/>
        <v>480.20000000000005</v>
      </c>
      <c r="J296" s="77">
        <f t="shared" si="37"/>
        <v>79.12173913043478</v>
      </c>
    </row>
    <row r="297" spans="1:10" ht="38.25">
      <c r="A297" s="46" t="s">
        <v>110</v>
      </c>
      <c r="B297" s="12" t="s">
        <v>558</v>
      </c>
      <c r="C297" s="13" t="s">
        <v>71</v>
      </c>
      <c r="D297" s="13" t="s">
        <v>76</v>
      </c>
      <c r="E297" s="32" t="s">
        <v>342</v>
      </c>
      <c r="F297" s="13" t="s">
        <v>111</v>
      </c>
      <c r="G297" s="14">
        <f>G298</f>
        <v>1971.8</v>
      </c>
      <c r="H297" s="87">
        <f>H298</f>
        <v>1787.5</v>
      </c>
      <c r="I297" s="14">
        <f t="shared" si="36"/>
        <v>184.29999999999995</v>
      </c>
      <c r="J297" s="77">
        <f t="shared" si="37"/>
        <v>90.65321026473273</v>
      </c>
    </row>
    <row r="298" spans="1:10" ht="12.75">
      <c r="A298" s="46" t="s">
        <v>101</v>
      </c>
      <c r="B298" s="12" t="s">
        <v>558</v>
      </c>
      <c r="C298" s="13" t="s">
        <v>71</v>
      </c>
      <c r="D298" s="13" t="s">
        <v>76</v>
      </c>
      <c r="E298" s="32" t="s">
        <v>342</v>
      </c>
      <c r="F298" s="13" t="s">
        <v>102</v>
      </c>
      <c r="G298" s="14">
        <f>G299+G300+G301</f>
        <v>1971.8</v>
      </c>
      <c r="H298" s="87">
        <f>H299+H300+H301</f>
        <v>1787.5</v>
      </c>
      <c r="I298" s="14">
        <f t="shared" si="36"/>
        <v>184.29999999999995</v>
      </c>
      <c r="J298" s="77">
        <f t="shared" si="37"/>
        <v>90.65321026473273</v>
      </c>
    </row>
    <row r="299" spans="1:10" ht="12.75">
      <c r="A299" s="46" t="s">
        <v>567</v>
      </c>
      <c r="B299" s="12" t="s">
        <v>558</v>
      </c>
      <c r="C299" s="13" t="s">
        <v>71</v>
      </c>
      <c r="D299" s="13" t="s">
        <v>76</v>
      </c>
      <c r="E299" s="32" t="s">
        <v>342</v>
      </c>
      <c r="F299" s="13" t="s">
        <v>103</v>
      </c>
      <c r="G299" s="14">
        <v>1517</v>
      </c>
      <c r="H299" s="87">
        <v>1392.8</v>
      </c>
      <c r="I299" s="14">
        <f t="shared" si="36"/>
        <v>124.20000000000005</v>
      </c>
      <c r="J299" s="77">
        <f t="shared" si="37"/>
        <v>91.81278839815424</v>
      </c>
    </row>
    <row r="300" spans="1:10" ht="25.5">
      <c r="A300" s="46" t="s">
        <v>104</v>
      </c>
      <c r="B300" s="12" t="s">
        <v>558</v>
      </c>
      <c r="C300" s="13" t="s">
        <v>71</v>
      </c>
      <c r="D300" s="13" t="s">
        <v>76</v>
      </c>
      <c r="E300" s="32" t="s">
        <v>342</v>
      </c>
      <c r="F300" s="13" t="s">
        <v>105</v>
      </c>
      <c r="G300" s="14">
        <f>70+55-107-18</f>
        <v>0</v>
      </c>
      <c r="H300" s="87">
        <v>0</v>
      </c>
      <c r="I300" s="14">
        <f t="shared" si="36"/>
        <v>0</v>
      </c>
      <c r="J300" s="77" t="e">
        <f t="shared" si="37"/>
        <v>#DIV/0!</v>
      </c>
    </row>
    <row r="301" spans="1:10" ht="25.5">
      <c r="A301" s="46" t="s">
        <v>178</v>
      </c>
      <c r="B301" s="12" t="s">
        <v>558</v>
      </c>
      <c r="C301" s="13" t="s">
        <v>71</v>
      </c>
      <c r="D301" s="13" t="s">
        <v>76</v>
      </c>
      <c r="E301" s="32" t="s">
        <v>342</v>
      </c>
      <c r="F301" s="13" t="s">
        <v>177</v>
      </c>
      <c r="G301" s="14">
        <v>454.8</v>
      </c>
      <c r="H301" s="87">
        <v>394.7</v>
      </c>
      <c r="I301" s="14">
        <f t="shared" si="36"/>
        <v>60.10000000000002</v>
      </c>
      <c r="J301" s="77">
        <f t="shared" si="37"/>
        <v>86.7854001759015</v>
      </c>
    </row>
    <row r="302" spans="1:10" ht="25.5">
      <c r="A302" s="46" t="s">
        <v>770</v>
      </c>
      <c r="B302" s="12" t="s">
        <v>558</v>
      </c>
      <c r="C302" s="13" t="s">
        <v>71</v>
      </c>
      <c r="D302" s="13" t="s">
        <v>76</v>
      </c>
      <c r="E302" s="32" t="s">
        <v>342</v>
      </c>
      <c r="F302" s="13" t="s">
        <v>113</v>
      </c>
      <c r="G302" s="14">
        <f>G303</f>
        <v>328.2</v>
      </c>
      <c r="H302" s="87">
        <f>H303</f>
        <v>32.3</v>
      </c>
      <c r="I302" s="14">
        <f t="shared" si="36"/>
        <v>295.9</v>
      </c>
      <c r="J302" s="77">
        <f t="shared" si="37"/>
        <v>9.84156002437538</v>
      </c>
    </row>
    <row r="303" spans="1:10" ht="25.5">
      <c r="A303" s="46" t="s">
        <v>106</v>
      </c>
      <c r="B303" s="12" t="s">
        <v>558</v>
      </c>
      <c r="C303" s="13" t="s">
        <v>71</v>
      </c>
      <c r="D303" s="13" t="s">
        <v>76</v>
      </c>
      <c r="E303" s="32" t="s">
        <v>342</v>
      </c>
      <c r="F303" s="13" t="s">
        <v>107</v>
      </c>
      <c r="G303" s="14">
        <f>G304</f>
        <v>328.2</v>
      </c>
      <c r="H303" s="87">
        <f>H304</f>
        <v>32.3</v>
      </c>
      <c r="I303" s="14">
        <f t="shared" si="36"/>
        <v>295.9</v>
      </c>
      <c r="J303" s="77">
        <f t="shared" si="37"/>
        <v>9.84156002437538</v>
      </c>
    </row>
    <row r="304" spans="1:10" ht="25.5">
      <c r="A304" s="46" t="s">
        <v>108</v>
      </c>
      <c r="B304" s="12" t="s">
        <v>558</v>
      </c>
      <c r="C304" s="13" t="s">
        <v>71</v>
      </c>
      <c r="D304" s="13" t="s">
        <v>76</v>
      </c>
      <c r="E304" s="32" t="s">
        <v>342</v>
      </c>
      <c r="F304" s="13" t="s">
        <v>109</v>
      </c>
      <c r="G304" s="14">
        <f>283.2-55+107-7</f>
        <v>328.2</v>
      </c>
      <c r="H304" s="87">
        <v>32.3</v>
      </c>
      <c r="I304" s="14">
        <f t="shared" si="36"/>
        <v>295.9</v>
      </c>
      <c r="J304" s="77">
        <f t="shared" si="37"/>
        <v>9.84156002437538</v>
      </c>
    </row>
    <row r="305" spans="1:10" ht="25.5">
      <c r="A305" s="46" t="s">
        <v>167</v>
      </c>
      <c r="B305" s="12" t="s">
        <v>558</v>
      </c>
      <c r="C305" s="13" t="s">
        <v>71</v>
      </c>
      <c r="D305" s="13" t="s">
        <v>76</v>
      </c>
      <c r="E305" s="13" t="s">
        <v>318</v>
      </c>
      <c r="F305" s="13"/>
      <c r="G305" s="11">
        <f>G306</f>
        <v>677.5999999999999</v>
      </c>
      <c r="H305" s="108">
        <f>H306</f>
        <v>507.09999999999997</v>
      </c>
      <c r="I305" s="14">
        <f t="shared" si="36"/>
        <v>170.49999999999994</v>
      </c>
      <c r="J305" s="77">
        <f t="shared" si="37"/>
        <v>74.83766233766235</v>
      </c>
    </row>
    <row r="306" spans="1:10" ht="24" customHeight="1">
      <c r="A306" s="46" t="s">
        <v>319</v>
      </c>
      <c r="B306" s="12" t="s">
        <v>558</v>
      </c>
      <c r="C306" s="13" t="s">
        <v>71</v>
      </c>
      <c r="D306" s="13" t="s">
        <v>76</v>
      </c>
      <c r="E306" s="45" t="s">
        <v>320</v>
      </c>
      <c r="F306" s="13"/>
      <c r="G306" s="11">
        <f>G308</f>
        <v>677.5999999999999</v>
      </c>
      <c r="H306" s="108">
        <f>H308</f>
        <v>507.09999999999997</v>
      </c>
      <c r="I306" s="14">
        <f t="shared" si="36"/>
        <v>170.49999999999994</v>
      </c>
      <c r="J306" s="77">
        <f t="shared" si="37"/>
        <v>74.83766233766235</v>
      </c>
    </row>
    <row r="307" spans="1:10" ht="24" customHeight="1">
      <c r="A307" s="46" t="s">
        <v>321</v>
      </c>
      <c r="B307" s="12" t="s">
        <v>558</v>
      </c>
      <c r="C307" s="13" t="s">
        <v>71</v>
      </c>
      <c r="D307" s="13" t="s">
        <v>76</v>
      </c>
      <c r="E307" s="45" t="s">
        <v>322</v>
      </c>
      <c r="F307" s="13"/>
      <c r="G307" s="11">
        <f>G308</f>
        <v>677.5999999999999</v>
      </c>
      <c r="H307" s="108">
        <f>H308</f>
        <v>507.09999999999997</v>
      </c>
      <c r="I307" s="14">
        <f t="shared" si="36"/>
        <v>170.49999999999994</v>
      </c>
      <c r="J307" s="77">
        <f t="shared" si="37"/>
        <v>74.83766233766235</v>
      </c>
    </row>
    <row r="308" spans="1:10" ht="31.5" customHeight="1">
      <c r="A308" s="46" t="s">
        <v>403</v>
      </c>
      <c r="B308" s="12" t="s">
        <v>558</v>
      </c>
      <c r="C308" s="13" t="s">
        <v>71</v>
      </c>
      <c r="D308" s="13" t="s">
        <v>76</v>
      </c>
      <c r="E308" s="45" t="s">
        <v>323</v>
      </c>
      <c r="F308" s="13"/>
      <c r="G308" s="11">
        <f>G309+G313</f>
        <v>677.5999999999999</v>
      </c>
      <c r="H308" s="108">
        <f>H309+H313</f>
        <v>507.09999999999997</v>
      </c>
      <c r="I308" s="14">
        <f t="shared" si="36"/>
        <v>170.49999999999994</v>
      </c>
      <c r="J308" s="77">
        <f t="shared" si="37"/>
        <v>74.83766233766235</v>
      </c>
    </row>
    <row r="309" spans="1:10" ht="38.25">
      <c r="A309" s="46" t="s">
        <v>110</v>
      </c>
      <c r="B309" s="12" t="s">
        <v>558</v>
      </c>
      <c r="C309" s="13" t="s">
        <v>71</v>
      </c>
      <c r="D309" s="13" t="s">
        <v>76</v>
      </c>
      <c r="E309" s="45" t="s">
        <v>323</v>
      </c>
      <c r="F309" s="13" t="s">
        <v>111</v>
      </c>
      <c r="G309" s="14">
        <f>G310</f>
        <v>537.9</v>
      </c>
      <c r="H309" s="87">
        <f>H310</f>
        <v>462.2</v>
      </c>
      <c r="I309" s="14">
        <f t="shared" si="36"/>
        <v>75.69999999999999</v>
      </c>
      <c r="J309" s="77">
        <f t="shared" si="37"/>
        <v>85.92675218442089</v>
      </c>
    </row>
    <row r="310" spans="1:10" ht="12.75">
      <c r="A310" s="46" t="s">
        <v>101</v>
      </c>
      <c r="B310" s="12" t="s">
        <v>558</v>
      </c>
      <c r="C310" s="13" t="s">
        <v>71</v>
      </c>
      <c r="D310" s="13" t="s">
        <v>76</v>
      </c>
      <c r="E310" s="45" t="s">
        <v>323</v>
      </c>
      <c r="F310" s="13" t="s">
        <v>102</v>
      </c>
      <c r="G310" s="14">
        <f>G311+G312</f>
        <v>537.9</v>
      </c>
      <c r="H310" s="87">
        <f>H311+H312</f>
        <v>462.2</v>
      </c>
      <c r="I310" s="14">
        <f t="shared" si="36"/>
        <v>75.69999999999999</v>
      </c>
      <c r="J310" s="77">
        <f t="shared" si="37"/>
        <v>85.92675218442089</v>
      </c>
    </row>
    <row r="311" spans="1:10" ht="12.75">
      <c r="A311" s="46" t="s">
        <v>176</v>
      </c>
      <c r="B311" s="12" t="s">
        <v>558</v>
      </c>
      <c r="C311" s="13" t="s">
        <v>71</v>
      </c>
      <c r="D311" s="13" t="s">
        <v>76</v>
      </c>
      <c r="E311" s="45" t="s">
        <v>323</v>
      </c>
      <c r="F311" s="13" t="s">
        <v>103</v>
      </c>
      <c r="G311" s="14">
        <v>413.1</v>
      </c>
      <c r="H311" s="87">
        <v>357.7</v>
      </c>
      <c r="I311" s="14">
        <f t="shared" si="36"/>
        <v>55.400000000000034</v>
      </c>
      <c r="J311" s="77">
        <f t="shared" si="37"/>
        <v>86.58920358266762</v>
      </c>
    </row>
    <row r="312" spans="1:10" ht="25.5">
      <c r="A312" s="46" t="s">
        <v>178</v>
      </c>
      <c r="B312" s="12" t="s">
        <v>558</v>
      </c>
      <c r="C312" s="13" t="s">
        <v>71</v>
      </c>
      <c r="D312" s="13" t="s">
        <v>76</v>
      </c>
      <c r="E312" s="45" t="s">
        <v>323</v>
      </c>
      <c r="F312" s="13" t="s">
        <v>177</v>
      </c>
      <c r="G312" s="14">
        <v>124.8</v>
      </c>
      <c r="H312" s="87">
        <v>104.5</v>
      </c>
      <c r="I312" s="14">
        <f t="shared" si="36"/>
        <v>20.299999999999997</v>
      </c>
      <c r="J312" s="77">
        <f t="shared" si="37"/>
        <v>83.73397435897436</v>
      </c>
    </row>
    <row r="313" spans="1:10" ht="25.5">
      <c r="A313" s="46" t="s">
        <v>770</v>
      </c>
      <c r="B313" s="12" t="s">
        <v>558</v>
      </c>
      <c r="C313" s="13" t="s">
        <v>71</v>
      </c>
      <c r="D313" s="13" t="s">
        <v>76</v>
      </c>
      <c r="E313" s="45" t="s">
        <v>323</v>
      </c>
      <c r="F313" s="13" t="s">
        <v>113</v>
      </c>
      <c r="G313" s="14">
        <f>G314</f>
        <v>139.7</v>
      </c>
      <c r="H313" s="87">
        <f>H314</f>
        <v>44.9</v>
      </c>
      <c r="I313" s="14">
        <f t="shared" si="36"/>
        <v>94.79999999999998</v>
      </c>
      <c r="J313" s="77">
        <f t="shared" si="37"/>
        <v>32.140300644237655</v>
      </c>
    </row>
    <row r="314" spans="1:10" ht="25.5">
      <c r="A314" s="46" t="s">
        <v>106</v>
      </c>
      <c r="B314" s="12" t="s">
        <v>558</v>
      </c>
      <c r="C314" s="13" t="s">
        <v>71</v>
      </c>
      <c r="D314" s="13" t="s">
        <v>76</v>
      </c>
      <c r="E314" s="45" t="s">
        <v>323</v>
      </c>
      <c r="F314" s="13" t="s">
        <v>107</v>
      </c>
      <c r="G314" s="14">
        <f>G315</f>
        <v>139.7</v>
      </c>
      <c r="H314" s="87">
        <f>H315</f>
        <v>44.9</v>
      </c>
      <c r="I314" s="14">
        <f t="shared" si="36"/>
        <v>94.79999999999998</v>
      </c>
      <c r="J314" s="77">
        <f t="shared" si="37"/>
        <v>32.140300644237655</v>
      </c>
    </row>
    <row r="315" spans="1:10" ht="25.5">
      <c r="A315" s="46" t="s">
        <v>108</v>
      </c>
      <c r="B315" s="12" t="s">
        <v>558</v>
      </c>
      <c r="C315" s="13" t="s">
        <v>71</v>
      </c>
      <c r="D315" s="13" t="s">
        <v>76</v>
      </c>
      <c r="E315" s="45" t="s">
        <v>323</v>
      </c>
      <c r="F315" s="13" t="s">
        <v>109</v>
      </c>
      <c r="G315" s="14">
        <v>139.7</v>
      </c>
      <c r="H315" s="87">
        <v>44.9</v>
      </c>
      <c r="I315" s="14">
        <f t="shared" si="36"/>
        <v>94.79999999999998</v>
      </c>
      <c r="J315" s="77">
        <f t="shared" si="37"/>
        <v>32.140300644237655</v>
      </c>
    </row>
    <row r="316" spans="1:10" ht="12.75">
      <c r="A316" s="60" t="s">
        <v>170</v>
      </c>
      <c r="B316" s="37" t="s">
        <v>559</v>
      </c>
      <c r="C316" s="29"/>
      <c r="D316" s="29"/>
      <c r="E316" s="29"/>
      <c r="F316" s="29"/>
      <c r="G316" s="30">
        <f>G317+G346</f>
        <v>17537.100000000002</v>
      </c>
      <c r="H316" s="105">
        <f>H317+H346</f>
        <v>16708.1</v>
      </c>
      <c r="I316" s="14">
        <f t="shared" si="36"/>
        <v>829.0000000000036</v>
      </c>
      <c r="J316" s="77">
        <f t="shared" si="37"/>
        <v>95.27287864014002</v>
      </c>
    </row>
    <row r="317" spans="1:10" ht="12.75">
      <c r="A317" s="65" t="s">
        <v>2</v>
      </c>
      <c r="B317" s="37" t="s">
        <v>559</v>
      </c>
      <c r="C317" s="29" t="s">
        <v>66</v>
      </c>
      <c r="D317" s="29" t="s">
        <v>36</v>
      </c>
      <c r="E317" s="29"/>
      <c r="F317" s="29"/>
      <c r="G317" s="30">
        <f>G318+G341</f>
        <v>16906.2</v>
      </c>
      <c r="H317" s="105">
        <f>H318+H341</f>
        <v>16077.199999999999</v>
      </c>
      <c r="I317" s="14">
        <f t="shared" si="36"/>
        <v>829.0000000000018</v>
      </c>
      <c r="J317" s="77">
        <f t="shared" si="37"/>
        <v>95.09647348310087</v>
      </c>
    </row>
    <row r="318" spans="1:10" ht="25.5">
      <c r="A318" s="60" t="s">
        <v>79</v>
      </c>
      <c r="B318" s="37" t="s">
        <v>559</v>
      </c>
      <c r="C318" s="29" t="s">
        <v>66</v>
      </c>
      <c r="D318" s="29" t="s">
        <v>76</v>
      </c>
      <c r="E318" s="29"/>
      <c r="F318" s="29"/>
      <c r="G318" s="30">
        <f>G319+G325</f>
        <v>15906.2</v>
      </c>
      <c r="H318" s="105">
        <f>H319+H325</f>
        <v>15690.499999999998</v>
      </c>
      <c r="I318" s="14">
        <f t="shared" si="36"/>
        <v>215.70000000000255</v>
      </c>
      <c r="J318" s="77">
        <f t="shared" si="37"/>
        <v>98.6439250103733</v>
      </c>
    </row>
    <row r="319" spans="1:10" ht="12.75">
      <c r="A319" s="46" t="s">
        <v>503</v>
      </c>
      <c r="B319" s="12" t="s">
        <v>559</v>
      </c>
      <c r="C319" s="13" t="s">
        <v>66</v>
      </c>
      <c r="D319" s="13" t="s">
        <v>76</v>
      </c>
      <c r="E319" s="13" t="s">
        <v>252</v>
      </c>
      <c r="F319" s="13"/>
      <c r="G319" s="14">
        <f aca="true" t="shared" si="40" ref="G319:H323">G320</f>
        <v>567</v>
      </c>
      <c r="H319" s="87">
        <f t="shared" si="40"/>
        <v>557.3</v>
      </c>
      <c r="I319" s="14">
        <f t="shared" si="36"/>
        <v>9.700000000000045</v>
      </c>
      <c r="J319" s="77">
        <f t="shared" si="37"/>
        <v>98.28924162257495</v>
      </c>
    </row>
    <row r="320" spans="1:10" ht="12.75">
      <c r="A320" s="46" t="s">
        <v>504</v>
      </c>
      <c r="B320" s="12" t="s">
        <v>559</v>
      </c>
      <c r="C320" s="13" t="s">
        <v>66</v>
      </c>
      <c r="D320" s="13" t="s">
        <v>76</v>
      </c>
      <c r="E320" s="13" t="s">
        <v>501</v>
      </c>
      <c r="F320" s="13"/>
      <c r="G320" s="14">
        <f t="shared" si="40"/>
        <v>567</v>
      </c>
      <c r="H320" s="87">
        <f t="shared" si="40"/>
        <v>557.3</v>
      </c>
      <c r="I320" s="14">
        <f t="shared" si="36"/>
        <v>9.700000000000045</v>
      </c>
      <c r="J320" s="77">
        <f t="shared" si="37"/>
        <v>98.28924162257495</v>
      </c>
    </row>
    <row r="321" spans="1:10" ht="42" customHeight="1">
      <c r="A321" s="46" t="s">
        <v>381</v>
      </c>
      <c r="B321" s="12" t="s">
        <v>559</v>
      </c>
      <c r="C321" s="13" t="s">
        <v>66</v>
      </c>
      <c r="D321" s="13" t="s">
        <v>76</v>
      </c>
      <c r="E321" s="13" t="s">
        <v>502</v>
      </c>
      <c r="F321" s="13"/>
      <c r="G321" s="14">
        <f t="shared" si="40"/>
        <v>567</v>
      </c>
      <c r="H321" s="87">
        <f t="shared" si="40"/>
        <v>557.3</v>
      </c>
      <c r="I321" s="14">
        <f t="shared" si="36"/>
        <v>9.700000000000045</v>
      </c>
      <c r="J321" s="77">
        <f t="shared" si="37"/>
        <v>98.28924162257495</v>
      </c>
    </row>
    <row r="322" spans="1:10" ht="38.25">
      <c r="A322" s="46" t="s">
        <v>110</v>
      </c>
      <c r="B322" s="12" t="s">
        <v>559</v>
      </c>
      <c r="C322" s="13" t="s">
        <v>66</v>
      </c>
      <c r="D322" s="13" t="s">
        <v>76</v>
      </c>
      <c r="E322" s="13" t="s">
        <v>502</v>
      </c>
      <c r="F322" s="13" t="s">
        <v>111</v>
      </c>
      <c r="G322" s="14">
        <f t="shared" si="40"/>
        <v>567</v>
      </c>
      <c r="H322" s="87">
        <f t="shared" si="40"/>
        <v>557.3</v>
      </c>
      <c r="I322" s="14">
        <f t="shared" si="36"/>
        <v>9.700000000000045</v>
      </c>
      <c r="J322" s="77">
        <f t="shared" si="37"/>
        <v>98.28924162257495</v>
      </c>
    </row>
    <row r="323" spans="1:10" ht="12.75">
      <c r="A323" s="46" t="s">
        <v>101</v>
      </c>
      <c r="B323" s="12" t="s">
        <v>559</v>
      </c>
      <c r="C323" s="13" t="s">
        <v>66</v>
      </c>
      <c r="D323" s="13" t="s">
        <v>76</v>
      </c>
      <c r="E323" s="13" t="s">
        <v>502</v>
      </c>
      <c r="F323" s="13" t="s">
        <v>102</v>
      </c>
      <c r="G323" s="14">
        <f t="shared" si="40"/>
        <v>567</v>
      </c>
      <c r="H323" s="87">
        <f t="shared" si="40"/>
        <v>557.3</v>
      </c>
      <c r="I323" s="14">
        <f t="shared" si="36"/>
        <v>9.700000000000045</v>
      </c>
      <c r="J323" s="77">
        <f t="shared" si="37"/>
        <v>98.28924162257495</v>
      </c>
    </row>
    <row r="324" spans="1:10" ht="25.5">
      <c r="A324" s="46" t="s">
        <v>104</v>
      </c>
      <c r="B324" s="12" t="s">
        <v>559</v>
      </c>
      <c r="C324" s="13" t="s">
        <v>66</v>
      </c>
      <c r="D324" s="13" t="s">
        <v>76</v>
      </c>
      <c r="E324" s="13" t="s">
        <v>502</v>
      </c>
      <c r="F324" s="13" t="s">
        <v>105</v>
      </c>
      <c r="G324" s="14">
        <f>650-120+37</f>
        <v>567</v>
      </c>
      <c r="H324" s="87">
        <v>557.3</v>
      </c>
      <c r="I324" s="14">
        <f t="shared" si="36"/>
        <v>9.700000000000045</v>
      </c>
      <c r="J324" s="77">
        <f t="shared" si="37"/>
        <v>98.28924162257495</v>
      </c>
    </row>
    <row r="325" spans="1:10" ht="27" customHeight="1">
      <c r="A325" s="46" t="s">
        <v>557</v>
      </c>
      <c r="B325" s="12" t="s">
        <v>559</v>
      </c>
      <c r="C325" s="13" t="s">
        <v>66</v>
      </c>
      <c r="D325" s="13" t="s">
        <v>76</v>
      </c>
      <c r="E325" s="13" t="s">
        <v>251</v>
      </c>
      <c r="F325" s="13"/>
      <c r="G325" s="14">
        <f>G326</f>
        <v>15339.2</v>
      </c>
      <c r="H325" s="87">
        <f>H326</f>
        <v>15133.199999999999</v>
      </c>
      <c r="I325" s="14">
        <f t="shared" si="36"/>
        <v>206.00000000000182</v>
      </c>
      <c r="J325" s="77">
        <f t="shared" si="37"/>
        <v>98.65703556899967</v>
      </c>
    </row>
    <row r="326" spans="1:10" ht="12.75">
      <c r="A326" s="46" t="s">
        <v>50</v>
      </c>
      <c r="B326" s="12" t="s">
        <v>559</v>
      </c>
      <c r="C326" s="13" t="s">
        <v>66</v>
      </c>
      <c r="D326" s="13" t="s">
        <v>76</v>
      </c>
      <c r="E326" s="13" t="s">
        <v>277</v>
      </c>
      <c r="F326" s="13"/>
      <c r="G326" s="14">
        <f>G327+G333</f>
        <v>15339.2</v>
      </c>
      <c r="H326" s="87">
        <f>H327+H333</f>
        <v>15133.199999999999</v>
      </c>
      <c r="I326" s="14">
        <f t="shared" si="36"/>
        <v>206.00000000000182</v>
      </c>
      <c r="J326" s="77">
        <f t="shared" si="37"/>
        <v>98.65703556899967</v>
      </c>
    </row>
    <row r="327" spans="1:10" ht="12.75">
      <c r="A327" s="46" t="s">
        <v>273</v>
      </c>
      <c r="B327" s="12" t="s">
        <v>559</v>
      </c>
      <c r="C327" s="13" t="s">
        <v>66</v>
      </c>
      <c r="D327" s="13" t="s">
        <v>76</v>
      </c>
      <c r="E327" s="13" t="s">
        <v>278</v>
      </c>
      <c r="F327" s="13"/>
      <c r="G327" s="14">
        <f>G328</f>
        <v>14207.5</v>
      </c>
      <c r="H327" s="87">
        <f>H328</f>
        <v>14064.8</v>
      </c>
      <c r="I327" s="14">
        <f t="shared" si="36"/>
        <v>142.70000000000073</v>
      </c>
      <c r="J327" s="77">
        <f t="shared" si="37"/>
        <v>98.99560091500967</v>
      </c>
    </row>
    <row r="328" spans="1:10" ht="38.25">
      <c r="A328" s="46" t="s">
        <v>110</v>
      </c>
      <c r="B328" s="12" t="s">
        <v>559</v>
      </c>
      <c r="C328" s="13" t="s">
        <v>66</v>
      </c>
      <c r="D328" s="13" t="s">
        <v>76</v>
      </c>
      <c r="E328" s="13" t="s">
        <v>278</v>
      </c>
      <c r="F328" s="13" t="s">
        <v>111</v>
      </c>
      <c r="G328" s="14">
        <f>G329</f>
        <v>14207.5</v>
      </c>
      <c r="H328" s="87">
        <f>H329</f>
        <v>14064.8</v>
      </c>
      <c r="I328" s="14">
        <f t="shared" si="36"/>
        <v>142.70000000000073</v>
      </c>
      <c r="J328" s="77">
        <f t="shared" si="37"/>
        <v>98.99560091500967</v>
      </c>
    </row>
    <row r="329" spans="1:10" ht="12.75">
      <c r="A329" s="46" t="s">
        <v>101</v>
      </c>
      <c r="B329" s="12" t="s">
        <v>559</v>
      </c>
      <c r="C329" s="13" t="s">
        <v>66</v>
      </c>
      <c r="D329" s="13" t="s">
        <v>76</v>
      </c>
      <c r="E329" s="13" t="s">
        <v>278</v>
      </c>
      <c r="F329" s="13" t="s">
        <v>102</v>
      </c>
      <c r="G329" s="14">
        <f>G330+G331+G332</f>
        <v>14207.5</v>
      </c>
      <c r="H329" s="87">
        <f>H330+H331+H332</f>
        <v>14064.8</v>
      </c>
      <c r="I329" s="14">
        <f t="shared" si="36"/>
        <v>142.70000000000073</v>
      </c>
      <c r="J329" s="77">
        <f t="shared" si="37"/>
        <v>98.99560091500967</v>
      </c>
    </row>
    <row r="330" spans="1:10" ht="12.75">
      <c r="A330" s="46" t="s">
        <v>176</v>
      </c>
      <c r="B330" s="12" t="s">
        <v>559</v>
      </c>
      <c r="C330" s="13" t="s">
        <v>66</v>
      </c>
      <c r="D330" s="13" t="s">
        <v>76</v>
      </c>
      <c r="E330" s="13" t="s">
        <v>278</v>
      </c>
      <c r="F330" s="13" t="s">
        <v>103</v>
      </c>
      <c r="G330" s="14">
        <f>11514.8-397</f>
        <v>11117.8</v>
      </c>
      <c r="H330" s="87">
        <v>11071.8</v>
      </c>
      <c r="I330" s="14">
        <f aca="true" t="shared" si="41" ref="I330:I393">G330-H330</f>
        <v>46</v>
      </c>
      <c r="J330" s="77">
        <f aca="true" t="shared" si="42" ref="J330:J393">H330/G330*100</f>
        <v>99.586249078055</v>
      </c>
    </row>
    <row r="331" spans="1:10" ht="25.5">
      <c r="A331" s="46" t="s">
        <v>104</v>
      </c>
      <c r="B331" s="12" t="s">
        <v>559</v>
      </c>
      <c r="C331" s="13" t="s">
        <v>66</v>
      </c>
      <c r="D331" s="13" t="s">
        <v>76</v>
      </c>
      <c r="E331" s="13" t="s">
        <v>278</v>
      </c>
      <c r="F331" s="13" t="s">
        <v>105</v>
      </c>
      <c r="G331" s="14">
        <f>33+30+80-80+8</f>
        <v>71</v>
      </c>
      <c r="H331" s="87">
        <v>47.5</v>
      </c>
      <c r="I331" s="14">
        <f t="shared" si="41"/>
        <v>23.5</v>
      </c>
      <c r="J331" s="77">
        <f t="shared" si="42"/>
        <v>66.90140845070422</v>
      </c>
    </row>
    <row r="332" spans="1:10" ht="25.5">
      <c r="A332" s="46" t="s">
        <v>178</v>
      </c>
      <c r="B332" s="12" t="s">
        <v>559</v>
      </c>
      <c r="C332" s="13" t="s">
        <v>66</v>
      </c>
      <c r="D332" s="13" t="s">
        <v>76</v>
      </c>
      <c r="E332" s="13" t="s">
        <v>278</v>
      </c>
      <c r="F332" s="13" t="s">
        <v>177</v>
      </c>
      <c r="G332" s="14">
        <f>2878.7+140</f>
        <v>3018.7</v>
      </c>
      <c r="H332" s="87">
        <v>2945.5</v>
      </c>
      <c r="I332" s="14">
        <f t="shared" si="41"/>
        <v>73.19999999999982</v>
      </c>
      <c r="J332" s="77">
        <f t="shared" si="42"/>
        <v>97.57511511577832</v>
      </c>
    </row>
    <row r="333" spans="1:10" ht="12.75">
      <c r="A333" s="46" t="s">
        <v>274</v>
      </c>
      <c r="B333" s="12" t="s">
        <v>559</v>
      </c>
      <c r="C333" s="13" t="s">
        <v>66</v>
      </c>
      <c r="D333" s="13" t="s">
        <v>76</v>
      </c>
      <c r="E333" s="13" t="s">
        <v>279</v>
      </c>
      <c r="F333" s="13"/>
      <c r="G333" s="14">
        <f>G334+G337</f>
        <v>1131.7</v>
      </c>
      <c r="H333" s="87">
        <f>H334+H337</f>
        <v>1068.3999999999999</v>
      </c>
      <c r="I333" s="14">
        <f t="shared" si="41"/>
        <v>63.30000000000018</v>
      </c>
      <c r="J333" s="77">
        <f t="shared" si="42"/>
        <v>94.40664487054872</v>
      </c>
    </row>
    <row r="334" spans="1:10" ht="25.5">
      <c r="A334" s="46" t="s">
        <v>770</v>
      </c>
      <c r="B334" s="12" t="s">
        <v>559</v>
      </c>
      <c r="C334" s="13" t="s">
        <v>66</v>
      </c>
      <c r="D334" s="13" t="s">
        <v>76</v>
      </c>
      <c r="E334" s="13" t="s">
        <v>279</v>
      </c>
      <c r="F334" s="13" t="s">
        <v>113</v>
      </c>
      <c r="G334" s="14">
        <f>G335</f>
        <v>1128.3</v>
      </c>
      <c r="H334" s="87">
        <f>H335</f>
        <v>1065.6</v>
      </c>
      <c r="I334" s="14">
        <f t="shared" si="41"/>
        <v>62.700000000000045</v>
      </c>
      <c r="J334" s="77">
        <f t="shared" si="42"/>
        <v>94.44296729593192</v>
      </c>
    </row>
    <row r="335" spans="1:10" ht="25.5">
      <c r="A335" s="46" t="s">
        <v>106</v>
      </c>
      <c r="B335" s="12" t="s">
        <v>559</v>
      </c>
      <c r="C335" s="13" t="s">
        <v>66</v>
      </c>
      <c r="D335" s="13" t="s">
        <v>76</v>
      </c>
      <c r="E335" s="13" t="s">
        <v>279</v>
      </c>
      <c r="F335" s="13" t="s">
        <v>107</v>
      </c>
      <c r="G335" s="14">
        <f>G336</f>
        <v>1128.3</v>
      </c>
      <c r="H335" s="87">
        <f>H336</f>
        <v>1065.6</v>
      </c>
      <c r="I335" s="14">
        <f t="shared" si="41"/>
        <v>62.700000000000045</v>
      </c>
      <c r="J335" s="77">
        <f t="shared" si="42"/>
        <v>94.44296729593192</v>
      </c>
    </row>
    <row r="336" spans="1:10" ht="25.5">
      <c r="A336" s="46" t="s">
        <v>108</v>
      </c>
      <c r="B336" s="12" t="s">
        <v>559</v>
      </c>
      <c r="C336" s="13" t="s">
        <v>66</v>
      </c>
      <c r="D336" s="13" t="s">
        <v>76</v>
      </c>
      <c r="E336" s="13" t="s">
        <v>279</v>
      </c>
      <c r="F336" s="13" t="s">
        <v>109</v>
      </c>
      <c r="G336" s="14">
        <f>200+259.4+32.4+310+2.5+220-3+230-123</f>
        <v>1128.3</v>
      </c>
      <c r="H336" s="87">
        <v>1065.6</v>
      </c>
      <c r="I336" s="14">
        <f t="shared" si="41"/>
        <v>62.700000000000045</v>
      </c>
      <c r="J336" s="77">
        <f t="shared" si="42"/>
        <v>94.44296729593192</v>
      </c>
    </row>
    <row r="337" spans="1:10" ht="12.75">
      <c r="A337" s="46" t="s">
        <v>137</v>
      </c>
      <c r="B337" s="12" t="s">
        <v>559</v>
      </c>
      <c r="C337" s="13" t="s">
        <v>66</v>
      </c>
      <c r="D337" s="13" t="s">
        <v>76</v>
      </c>
      <c r="E337" s="13" t="s">
        <v>279</v>
      </c>
      <c r="F337" s="13" t="s">
        <v>138</v>
      </c>
      <c r="G337" s="14">
        <f>G338</f>
        <v>3.4</v>
      </c>
      <c r="H337" s="87">
        <f>H338</f>
        <v>2.8</v>
      </c>
      <c r="I337" s="14">
        <f t="shared" si="41"/>
        <v>0.6000000000000001</v>
      </c>
      <c r="J337" s="77">
        <f t="shared" si="42"/>
        <v>82.35294117647058</v>
      </c>
    </row>
    <row r="338" spans="1:10" ht="12.75">
      <c r="A338" s="46" t="s">
        <v>140</v>
      </c>
      <c r="B338" s="12" t="s">
        <v>559</v>
      </c>
      <c r="C338" s="13" t="s">
        <v>66</v>
      </c>
      <c r="D338" s="13" t="s">
        <v>76</v>
      </c>
      <c r="E338" s="13" t="s">
        <v>279</v>
      </c>
      <c r="F338" s="13" t="s">
        <v>141</v>
      </c>
      <c r="G338" s="14">
        <f>G339+G340</f>
        <v>3.4</v>
      </c>
      <c r="H338" s="87">
        <f>H339+H340</f>
        <v>2.8</v>
      </c>
      <c r="I338" s="14">
        <f t="shared" si="41"/>
        <v>0.6000000000000001</v>
      </c>
      <c r="J338" s="77">
        <f t="shared" si="42"/>
        <v>82.35294117647058</v>
      </c>
    </row>
    <row r="339" spans="1:10" ht="12.75">
      <c r="A339" s="46" t="s">
        <v>142</v>
      </c>
      <c r="B339" s="12" t="s">
        <v>559</v>
      </c>
      <c r="C339" s="13" t="s">
        <v>66</v>
      </c>
      <c r="D339" s="13" t="s">
        <v>76</v>
      </c>
      <c r="E339" s="13" t="s">
        <v>279</v>
      </c>
      <c r="F339" s="13" t="s">
        <v>143</v>
      </c>
      <c r="G339" s="14">
        <f>4-3</f>
        <v>1</v>
      </c>
      <c r="H339" s="87">
        <v>0.5</v>
      </c>
      <c r="I339" s="14">
        <f t="shared" si="41"/>
        <v>0.5</v>
      </c>
      <c r="J339" s="77">
        <f t="shared" si="42"/>
        <v>50</v>
      </c>
    </row>
    <row r="340" spans="1:10" ht="12.75">
      <c r="A340" s="46" t="s">
        <v>179</v>
      </c>
      <c r="B340" s="12" t="s">
        <v>559</v>
      </c>
      <c r="C340" s="13" t="s">
        <v>66</v>
      </c>
      <c r="D340" s="13" t="s">
        <v>76</v>
      </c>
      <c r="E340" s="13" t="s">
        <v>279</v>
      </c>
      <c r="F340" s="13" t="s">
        <v>144</v>
      </c>
      <c r="G340" s="14">
        <v>2.4</v>
      </c>
      <c r="H340" s="87">
        <v>2.3</v>
      </c>
      <c r="I340" s="14">
        <f t="shared" si="41"/>
        <v>0.10000000000000009</v>
      </c>
      <c r="J340" s="77">
        <f t="shared" si="42"/>
        <v>95.83333333333333</v>
      </c>
    </row>
    <row r="341" spans="1:10" ht="12.75">
      <c r="A341" s="60" t="s">
        <v>3</v>
      </c>
      <c r="B341" s="37" t="s">
        <v>559</v>
      </c>
      <c r="C341" s="29" t="s">
        <v>66</v>
      </c>
      <c r="D341" s="29" t="s">
        <v>74</v>
      </c>
      <c r="E341" s="29"/>
      <c r="F341" s="29"/>
      <c r="G341" s="30">
        <f aca="true" t="shared" si="43" ref="G341:H344">G342</f>
        <v>1000</v>
      </c>
      <c r="H341" s="105">
        <f t="shared" si="43"/>
        <v>386.70000000000005</v>
      </c>
      <c r="I341" s="14">
        <f t="shared" si="41"/>
        <v>613.3</v>
      </c>
      <c r="J341" s="77">
        <f t="shared" si="42"/>
        <v>38.67</v>
      </c>
    </row>
    <row r="342" spans="1:10" ht="12.75">
      <c r="A342" s="46" t="s">
        <v>3</v>
      </c>
      <c r="B342" s="12" t="s">
        <v>559</v>
      </c>
      <c r="C342" s="13" t="s">
        <v>66</v>
      </c>
      <c r="D342" s="13" t="s">
        <v>74</v>
      </c>
      <c r="E342" s="13" t="s">
        <v>258</v>
      </c>
      <c r="F342" s="13"/>
      <c r="G342" s="14">
        <f t="shared" si="43"/>
        <v>1000</v>
      </c>
      <c r="H342" s="87">
        <f t="shared" si="43"/>
        <v>386.70000000000005</v>
      </c>
      <c r="I342" s="14">
        <f t="shared" si="41"/>
        <v>613.3</v>
      </c>
      <c r="J342" s="77">
        <f t="shared" si="42"/>
        <v>38.67</v>
      </c>
    </row>
    <row r="343" spans="1:10" ht="12.75">
      <c r="A343" s="46" t="s">
        <v>548</v>
      </c>
      <c r="B343" s="12" t="s">
        <v>559</v>
      </c>
      <c r="C343" s="13" t="s">
        <v>66</v>
      </c>
      <c r="D343" s="13" t="s">
        <v>74</v>
      </c>
      <c r="E343" s="13" t="s">
        <v>549</v>
      </c>
      <c r="F343" s="13"/>
      <c r="G343" s="14">
        <f t="shared" si="43"/>
        <v>1000</v>
      </c>
      <c r="H343" s="87">
        <f t="shared" si="43"/>
        <v>386.70000000000005</v>
      </c>
      <c r="I343" s="14">
        <f t="shared" si="41"/>
        <v>613.3</v>
      </c>
      <c r="J343" s="77">
        <f t="shared" si="42"/>
        <v>38.67</v>
      </c>
    </row>
    <row r="344" spans="1:10" ht="12.75">
      <c r="A344" s="46" t="s">
        <v>137</v>
      </c>
      <c r="B344" s="12" t="s">
        <v>559</v>
      </c>
      <c r="C344" s="13" t="s">
        <v>66</v>
      </c>
      <c r="D344" s="13" t="s">
        <v>74</v>
      </c>
      <c r="E344" s="13" t="s">
        <v>549</v>
      </c>
      <c r="F344" s="13" t="s">
        <v>138</v>
      </c>
      <c r="G344" s="14">
        <f t="shared" si="43"/>
        <v>1000</v>
      </c>
      <c r="H344" s="87">
        <f t="shared" si="43"/>
        <v>386.70000000000005</v>
      </c>
      <c r="I344" s="14">
        <f t="shared" si="41"/>
        <v>613.3</v>
      </c>
      <c r="J344" s="77">
        <f t="shared" si="42"/>
        <v>38.67</v>
      </c>
    </row>
    <row r="345" spans="1:10" ht="15" customHeight="1">
      <c r="A345" s="46" t="s">
        <v>149</v>
      </c>
      <c r="B345" s="12" t="s">
        <v>559</v>
      </c>
      <c r="C345" s="13" t="s">
        <v>66</v>
      </c>
      <c r="D345" s="13" t="s">
        <v>74</v>
      </c>
      <c r="E345" s="13" t="s">
        <v>549</v>
      </c>
      <c r="F345" s="13" t="s">
        <v>150</v>
      </c>
      <c r="G345" s="14">
        <v>1000</v>
      </c>
      <c r="H345" s="87">
        <f>146.1+200+40.6</f>
        <v>386.70000000000005</v>
      </c>
      <c r="I345" s="14">
        <f t="shared" si="41"/>
        <v>613.3</v>
      </c>
      <c r="J345" s="77">
        <f t="shared" si="42"/>
        <v>38.67</v>
      </c>
    </row>
    <row r="346" spans="1:10" ht="12.75">
      <c r="A346" s="60" t="s">
        <v>92</v>
      </c>
      <c r="B346" s="37" t="s">
        <v>559</v>
      </c>
      <c r="C346" s="29" t="s">
        <v>89</v>
      </c>
      <c r="D346" s="29" t="s">
        <v>36</v>
      </c>
      <c r="E346" s="29"/>
      <c r="F346" s="29"/>
      <c r="G346" s="30">
        <f aca="true" t="shared" si="44" ref="G346:H350">G347</f>
        <v>630.9</v>
      </c>
      <c r="H346" s="105">
        <f t="shared" si="44"/>
        <v>630.9</v>
      </c>
      <c r="I346" s="14">
        <f t="shared" si="41"/>
        <v>0</v>
      </c>
      <c r="J346" s="77">
        <f t="shared" si="42"/>
        <v>100</v>
      </c>
    </row>
    <row r="347" spans="1:10" ht="12.75">
      <c r="A347" s="60" t="s">
        <v>95</v>
      </c>
      <c r="B347" s="37" t="s">
        <v>559</v>
      </c>
      <c r="C347" s="29" t="s">
        <v>89</v>
      </c>
      <c r="D347" s="29" t="s">
        <v>66</v>
      </c>
      <c r="E347" s="29"/>
      <c r="F347" s="29"/>
      <c r="G347" s="30">
        <f t="shared" si="44"/>
        <v>630.9</v>
      </c>
      <c r="H347" s="105">
        <f t="shared" si="44"/>
        <v>630.9</v>
      </c>
      <c r="I347" s="14">
        <f t="shared" si="41"/>
        <v>0</v>
      </c>
      <c r="J347" s="77">
        <f t="shared" si="42"/>
        <v>100</v>
      </c>
    </row>
    <row r="348" spans="1:10" ht="12.75">
      <c r="A348" s="46" t="s">
        <v>93</v>
      </c>
      <c r="B348" s="12" t="s">
        <v>559</v>
      </c>
      <c r="C348" s="13" t="s">
        <v>89</v>
      </c>
      <c r="D348" s="13" t="s">
        <v>66</v>
      </c>
      <c r="E348" s="13" t="s">
        <v>259</v>
      </c>
      <c r="F348" s="13"/>
      <c r="G348" s="14">
        <f t="shared" si="44"/>
        <v>630.9</v>
      </c>
      <c r="H348" s="87">
        <f t="shared" si="44"/>
        <v>630.9</v>
      </c>
      <c r="I348" s="14">
        <f t="shared" si="41"/>
        <v>0</v>
      </c>
      <c r="J348" s="77">
        <f t="shared" si="42"/>
        <v>100</v>
      </c>
    </row>
    <row r="349" spans="1:10" ht="12.75">
      <c r="A349" s="46" t="s">
        <v>94</v>
      </c>
      <c r="B349" s="12" t="s">
        <v>559</v>
      </c>
      <c r="C349" s="13" t="s">
        <v>89</v>
      </c>
      <c r="D349" s="13" t="s">
        <v>66</v>
      </c>
      <c r="E349" s="13" t="s">
        <v>545</v>
      </c>
      <c r="F349" s="13"/>
      <c r="G349" s="14">
        <f t="shared" si="44"/>
        <v>630.9</v>
      </c>
      <c r="H349" s="87">
        <f t="shared" si="44"/>
        <v>630.9</v>
      </c>
      <c r="I349" s="14">
        <f t="shared" si="41"/>
        <v>0</v>
      </c>
      <c r="J349" s="77">
        <f t="shared" si="42"/>
        <v>100</v>
      </c>
    </row>
    <row r="350" spans="1:10" ht="12.75">
      <c r="A350" s="46" t="s">
        <v>92</v>
      </c>
      <c r="B350" s="12" t="s">
        <v>559</v>
      </c>
      <c r="C350" s="13" t="s">
        <v>89</v>
      </c>
      <c r="D350" s="13" t="s">
        <v>66</v>
      </c>
      <c r="E350" s="13" t="s">
        <v>545</v>
      </c>
      <c r="F350" s="13" t="s">
        <v>134</v>
      </c>
      <c r="G350" s="14">
        <f t="shared" si="44"/>
        <v>630.9</v>
      </c>
      <c r="H350" s="87">
        <f t="shared" si="44"/>
        <v>630.9</v>
      </c>
      <c r="I350" s="14">
        <f t="shared" si="41"/>
        <v>0</v>
      </c>
      <c r="J350" s="77">
        <f t="shared" si="42"/>
        <v>100</v>
      </c>
    </row>
    <row r="351" spans="1:10" ht="12.75">
      <c r="A351" s="46" t="s">
        <v>135</v>
      </c>
      <c r="B351" s="12" t="s">
        <v>559</v>
      </c>
      <c r="C351" s="13" t="s">
        <v>89</v>
      </c>
      <c r="D351" s="13" t="s">
        <v>66</v>
      </c>
      <c r="E351" s="13" t="s">
        <v>545</v>
      </c>
      <c r="F351" s="13" t="s">
        <v>136</v>
      </c>
      <c r="G351" s="14">
        <f>616.8+13.1+1</f>
        <v>630.9</v>
      </c>
      <c r="H351" s="87">
        <v>630.9</v>
      </c>
      <c r="I351" s="14">
        <f t="shared" si="41"/>
        <v>0</v>
      </c>
      <c r="J351" s="77">
        <f t="shared" si="42"/>
        <v>100</v>
      </c>
    </row>
    <row r="352" spans="1:10" ht="12.75">
      <c r="A352" s="60" t="s">
        <v>171</v>
      </c>
      <c r="B352" s="37" t="s">
        <v>560</v>
      </c>
      <c r="C352" s="29"/>
      <c r="D352" s="29"/>
      <c r="E352" s="29"/>
      <c r="F352" s="29"/>
      <c r="G352" s="30">
        <f>G353</f>
        <v>8844.1</v>
      </c>
      <c r="H352" s="105">
        <f>H353</f>
        <v>8218.3</v>
      </c>
      <c r="I352" s="14">
        <f t="shared" si="41"/>
        <v>625.8000000000011</v>
      </c>
      <c r="J352" s="77">
        <f t="shared" si="42"/>
        <v>92.92409629018215</v>
      </c>
    </row>
    <row r="353" spans="1:10" ht="12.75">
      <c r="A353" s="60" t="s">
        <v>2</v>
      </c>
      <c r="B353" s="37" t="s">
        <v>560</v>
      </c>
      <c r="C353" s="29" t="s">
        <v>66</v>
      </c>
      <c r="D353" s="29" t="s">
        <v>36</v>
      </c>
      <c r="E353" s="29"/>
      <c r="F353" s="29"/>
      <c r="G353" s="30">
        <f>G354+G384</f>
        <v>8844.1</v>
      </c>
      <c r="H353" s="105">
        <f>H354+H384</f>
        <v>8218.3</v>
      </c>
      <c r="I353" s="14">
        <f t="shared" si="41"/>
        <v>625.8000000000011</v>
      </c>
      <c r="J353" s="77">
        <f t="shared" si="42"/>
        <v>92.92409629018215</v>
      </c>
    </row>
    <row r="354" spans="1:10" ht="29.25" customHeight="1">
      <c r="A354" s="60" t="s">
        <v>20</v>
      </c>
      <c r="B354" s="37" t="s">
        <v>560</v>
      </c>
      <c r="C354" s="29" t="s">
        <v>66</v>
      </c>
      <c r="D354" s="29" t="s">
        <v>70</v>
      </c>
      <c r="E354" s="29"/>
      <c r="F354" s="29"/>
      <c r="G354" s="30">
        <f>G355+G361+G378</f>
        <v>5692.2</v>
      </c>
      <c r="H354" s="105">
        <f>H355+H361+H378</f>
        <v>5591.2</v>
      </c>
      <c r="I354" s="14">
        <f t="shared" si="41"/>
        <v>101</v>
      </c>
      <c r="J354" s="77">
        <f t="shared" si="42"/>
        <v>98.22564210674255</v>
      </c>
    </row>
    <row r="355" spans="1:10" ht="12.75" customHeight="1">
      <c r="A355" s="46" t="s">
        <v>503</v>
      </c>
      <c r="B355" s="12" t="s">
        <v>560</v>
      </c>
      <c r="C355" s="13" t="s">
        <v>66</v>
      </c>
      <c r="D355" s="13" t="s">
        <v>70</v>
      </c>
      <c r="E355" s="13" t="s">
        <v>252</v>
      </c>
      <c r="F355" s="13"/>
      <c r="G355" s="14">
        <f aca="true" t="shared" si="45" ref="G355:H359">G356</f>
        <v>49</v>
      </c>
      <c r="H355" s="87">
        <f t="shared" si="45"/>
        <v>48.9</v>
      </c>
      <c r="I355" s="14">
        <f t="shared" si="41"/>
        <v>0.10000000000000142</v>
      </c>
      <c r="J355" s="77">
        <f t="shared" si="42"/>
        <v>99.79591836734694</v>
      </c>
    </row>
    <row r="356" spans="1:10" ht="16.5" customHeight="1">
      <c r="A356" s="46" t="s">
        <v>504</v>
      </c>
      <c r="B356" s="12" t="s">
        <v>560</v>
      </c>
      <c r="C356" s="13" t="s">
        <v>66</v>
      </c>
      <c r="D356" s="13" t="s">
        <v>70</v>
      </c>
      <c r="E356" s="13" t="s">
        <v>501</v>
      </c>
      <c r="F356" s="13"/>
      <c r="G356" s="14">
        <f t="shared" si="45"/>
        <v>49</v>
      </c>
      <c r="H356" s="87">
        <f t="shared" si="45"/>
        <v>48.9</v>
      </c>
      <c r="I356" s="14">
        <f t="shared" si="41"/>
        <v>0.10000000000000142</v>
      </c>
      <c r="J356" s="77">
        <f t="shared" si="42"/>
        <v>99.79591836734694</v>
      </c>
    </row>
    <row r="357" spans="1:10" ht="43.5" customHeight="1">
      <c r="A357" s="46" t="s">
        <v>381</v>
      </c>
      <c r="B357" s="12" t="s">
        <v>560</v>
      </c>
      <c r="C357" s="13" t="s">
        <v>66</v>
      </c>
      <c r="D357" s="13" t="s">
        <v>70</v>
      </c>
      <c r="E357" s="13" t="s">
        <v>502</v>
      </c>
      <c r="F357" s="13"/>
      <c r="G357" s="14">
        <f t="shared" si="45"/>
        <v>49</v>
      </c>
      <c r="H357" s="87">
        <f t="shared" si="45"/>
        <v>48.9</v>
      </c>
      <c r="I357" s="14">
        <f t="shared" si="41"/>
        <v>0.10000000000000142</v>
      </c>
      <c r="J357" s="77">
        <f t="shared" si="42"/>
        <v>99.79591836734694</v>
      </c>
    </row>
    <row r="358" spans="1:10" ht="42" customHeight="1">
      <c r="A358" s="46" t="s">
        <v>110</v>
      </c>
      <c r="B358" s="12" t="s">
        <v>560</v>
      </c>
      <c r="C358" s="13" t="s">
        <v>66</v>
      </c>
      <c r="D358" s="13" t="s">
        <v>70</v>
      </c>
      <c r="E358" s="13" t="s">
        <v>502</v>
      </c>
      <c r="F358" s="13" t="s">
        <v>111</v>
      </c>
      <c r="G358" s="14">
        <f t="shared" si="45"/>
        <v>49</v>
      </c>
      <c r="H358" s="87">
        <f t="shared" si="45"/>
        <v>48.9</v>
      </c>
      <c r="I358" s="14">
        <f t="shared" si="41"/>
        <v>0.10000000000000142</v>
      </c>
      <c r="J358" s="77">
        <f t="shared" si="42"/>
        <v>99.79591836734694</v>
      </c>
    </row>
    <row r="359" spans="1:10" ht="18" customHeight="1">
      <c r="A359" s="46" t="s">
        <v>101</v>
      </c>
      <c r="B359" s="12" t="s">
        <v>560</v>
      </c>
      <c r="C359" s="13" t="s">
        <v>66</v>
      </c>
      <c r="D359" s="13" t="s">
        <v>70</v>
      </c>
      <c r="E359" s="13" t="s">
        <v>502</v>
      </c>
      <c r="F359" s="13" t="s">
        <v>102</v>
      </c>
      <c r="G359" s="14">
        <f t="shared" si="45"/>
        <v>49</v>
      </c>
      <c r="H359" s="87">
        <f t="shared" si="45"/>
        <v>48.9</v>
      </c>
      <c r="I359" s="14">
        <f t="shared" si="41"/>
        <v>0.10000000000000142</v>
      </c>
      <c r="J359" s="77">
        <f t="shared" si="42"/>
        <v>99.79591836734694</v>
      </c>
    </row>
    <row r="360" spans="1:10" ht="29.25" customHeight="1">
      <c r="A360" s="46" t="s">
        <v>104</v>
      </c>
      <c r="B360" s="12" t="s">
        <v>560</v>
      </c>
      <c r="C360" s="13" t="s">
        <v>66</v>
      </c>
      <c r="D360" s="13" t="s">
        <v>70</v>
      </c>
      <c r="E360" s="13" t="s">
        <v>502</v>
      </c>
      <c r="F360" s="13" t="s">
        <v>105</v>
      </c>
      <c r="G360" s="14">
        <f>45+4</f>
        <v>49</v>
      </c>
      <c r="H360" s="87">
        <v>48.9</v>
      </c>
      <c r="I360" s="14">
        <f t="shared" si="41"/>
        <v>0.10000000000000142</v>
      </c>
      <c r="J360" s="77">
        <f t="shared" si="42"/>
        <v>99.79591836734694</v>
      </c>
    </row>
    <row r="361" spans="1:10" ht="28.5" customHeight="1">
      <c r="A361" s="46" t="s">
        <v>557</v>
      </c>
      <c r="B361" s="12" t="s">
        <v>560</v>
      </c>
      <c r="C361" s="13" t="s">
        <v>66</v>
      </c>
      <c r="D361" s="13" t="s">
        <v>70</v>
      </c>
      <c r="E361" s="13" t="s">
        <v>251</v>
      </c>
      <c r="F361" s="13"/>
      <c r="G361" s="14">
        <f>G362</f>
        <v>2226.2</v>
      </c>
      <c r="H361" s="87">
        <f>H362</f>
        <v>2152.1</v>
      </c>
      <c r="I361" s="14">
        <f t="shared" si="41"/>
        <v>74.09999999999991</v>
      </c>
      <c r="J361" s="77">
        <f t="shared" si="42"/>
        <v>96.67145809001887</v>
      </c>
    </row>
    <row r="362" spans="1:10" ht="12.75">
      <c r="A362" s="46" t="s">
        <v>50</v>
      </c>
      <c r="B362" s="12" t="s">
        <v>560</v>
      </c>
      <c r="C362" s="13" t="s">
        <v>66</v>
      </c>
      <c r="D362" s="13" t="s">
        <v>70</v>
      </c>
      <c r="E362" s="13" t="s">
        <v>277</v>
      </c>
      <c r="F362" s="13"/>
      <c r="G362" s="14">
        <f>G363+G369</f>
        <v>2226.2</v>
      </c>
      <c r="H362" s="87">
        <f>H363+H369</f>
        <v>2152.1</v>
      </c>
      <c r="I362" s="14">
        <f t="shared" si="41"/>
        <v>74.09999999999991</v>
      </c>
      <c r="J362" s="77">
        <f t="shared" si="42"/>
        <v>96.67145809001887</v>
      </c>
    </row>
    <row r="363" spans="1:10" ht="12.75">
      <c r="A363" s="46" t="s">
        <v>273</v>
      </c>
      <c r="B363" s="12" t="s">
        <v>560</v>
      </c>
      <c r="C363" s="13" t="s">
        <v>66</v>
      </c>
      <c r="D363" s="13" t="s">
        <v>70</v>
      </c>
      <c r="E363" s="13" t="s">
        <v>278</v>
      </c>
      <c r="F363" s="13"/>
      <c r="G363" s="14">
        <f>G364</f>
        <v>1767.5</v>
      </c>
      <c r="H363" s="87">
        <f>H364</f>
        <v>1758.4</v>
      </c>
      <c r="I363" s="14">
        <f t="shared" si="41"/>
        <v>9.099999999999909</v>
      </c>
      <c r="J363" s="77">
        <f t="shared" si="42"/>
        <v>99.4851485148515</v>
      </c>
    </row>
    <row r="364" spans="1:10" ht="38.25">
      <c r="A364" s="46" t="s">
        <v>110</v>
      </c>
      <c r="B364" s="12" t="s">
        <v>560</v>
      </c>
      <c r="C364" s="13" t="s">
        <v>66</v>
      </c>
      <c r="D364" s="13" t="s">
        <v>70</v>
      </c>
      <c r="E364" s="13" t="s">
        <v>278</v>
      </c>
      <c r="F364" s="13" t="s">
        <v>111</v>
      </c>
      <c r="G364" s="14">
        <f>G365</f>
        <v>1767.5</v>
      </c>
      <c r="H364" s="87">
        <f>H365</f>
        <v>1758.4</v>
      </c>
      <c r="I364" s="14">
        <f t="shared" si="41"/>
        <v>9.099999999999909</v>
      </c>
      <c r="J364" s="77">
        <f t="shared" si="42"/>
        <v>99.4851485148515</v>
      </c>
    </row>
    <row r="365" spans="1:10" ht="12.75">
      <c r="A365" s="46" t="s">
        <v>101</v>
      </c>
      <c r="B365" s="12" t="s">
        <v>560</v>
      </c>
      <c r="C365" s="13" t="s">
        <v>66</v>
      </c>
      <c r="D365" s="13" t="s">
        <v>70</v>
      </c>
      <c r="E365" s="13" t="s">
        <v>278</v>
      </c>
      <c r="F365" s="13" t="s">
        <v>102</v>
      </c>
      <c r="G365" s="14">
        <f>G366+G367+G368</f>
        <v>1767.5</v>
      </c>
      <c r="H365" s="87">
        <f>H366+H367+H368</f>
        <v>1758.4</v>
      </c>
      <c r="I365" s="14">
        <f t="shared" si="41"/>
        <v>9.099999999999909</v>
      </c>
      <c r="J365" s="77">
        <f t="shared" si="42"/>
        <v>99.4851485148515</v>
      </c>
    </row>
    <row r="366" spans="1:10" ht="12.75">
      <c r="A366" s="46" t="s">
        <v>176</v>
      </c>
      <c r="B366" s="12" t="s">
        <v>560</v>
      </c>
      <c r="C366" s="13" t="s">
        <v>66</v>
      </c>
      <c r="D366" s="13" t="s">
        <v>70</v>
      </c>
      <c r="E366" s="13" t="s">
        <v>278</v>
      </c>
      <c r="F366" s="13" t="s">
        <v>103</v>
      </c>
      <c r="G366" s="14">
        <f>1470-130</f>
        <v>1340</v>
      </c>
      <c r="H366" s="87">
        <v>1337.9</v>
      </c>
      <c r="I366" s="14">
        <f t="shared" si="41"/>
        <v>2.099999999999909</v>
      </c>
      <c r="J366" s="77">
        <f t="shared" si="42"/>
        <v>99.84328358208955</v>
      </c>
    </row>
    <row r="367" spans="1:10" ht="25.5">
      <c r="A367" s="46" t="s">
        <v>104</v>
      </c>
      <c r="B367" s="12" t="s">
        <v>560</v>
      </c>
      <c r="C367" s="13" t="s">
        <v>66</v>
      </c>
      <c r="D367" s="13" t="s">
        <v>70</v>
      </c>
      <c r="E367" s="13" t="s">
        <v>278</v>
      </c>
      <c r="F367" s="13" t="s">
        <v>105</v>
      </c>
      <c r="G367" s="14">
        <f>16+10+18-24</f>
        <v>20</v>
      </c>
      <c r="H367" s="87">
        <v>14.7</v>
      </c>
      <c r="I367" s="14">
        <f t="shared" si="41"/>
        <v>5.300000000000001</v>
      </c>
      <c r="J367" s="77">
        <f t="shared" si="42"/>
        <v>73.5</v>
      </c>
    </row>
    <row r="368" spans="1:10" ht="25.5">
      <c r="A368" s="46" t="s">
        <v>178</v>
      </c>
      <c r="B368" s="12" t="s">
        <v>560</v>
      </c>
      <c r="C368" s="13" t="s">
        <v>66</v>
      </c>
      <c r="D368" s="13" t="s">
        <v>70</v>
      </c>
      <c r="E368" s="13" t="s">
        <v>278</v>
      </c>
      <c r="F368" s="13" t="s">
        <v>177</v>
      </c>
      <c r="G368" s="14">
        <f>367.5+75.5-35.5</f>
        <v>407.5</v>
      </c>
      <c r="H368" s="87">
        <v>405.8</v>
      </c>
      <c r="I368" s="14">
        <f t="shared" si="41"/>
        <v>1.6999999999999886</v>
      </c>
      <c r="J368" s="77">
        <f t="shared" si="42"/>
        <v>99.58282208588957</v>
      </c>
    </row>
    <row r="369" spans="1:10" ht="12.75">
      <c r="A369" s="46" t="s">
        <v>274</v>
      </c>
      <c r="B369" s="12" t="s">
        <v>560</v>
      </c>
      <c r="C369" s="13" t="s">
        <v>66</v>
      </c>
      <c r="D369" s="13" t="s">
        <v>70</v>
      </c>
      <c r="E369" s="13" t="s">
        <v>279</v>
      </c>
      <c r="F369" s="13"/>
      <c r="G369" s="14">
        <f>G370+G373</f>
        <v>458.7</v>
      </c>
      <c r="H369" s="87">
        <f>H370+H373</f>
        <v>393.7</v>
      </c>
      <c r="I369" s="14">
        <f t="shared" si="41"/>
        <v>65</v>
      </c>
      <c r="J369" s="77">
        <f t="shared" si="42"/>
        <v>85.82951820361893</v>
      </c>
    </row>
    <row r="370" spans="1:10" ht="25.5">
      <c r="A370" s="46" t="s">
        <v>770</v>
      </c>
      <c r="B370" s="12" t="s">
        <v>560</v>
      </c>
      <c r="C370" s="13" t="s">
        <v>66</v>
      </c>
      <c r="D370" s="13" t="s">
        <v>70</v>
      </c>
      <c r="E370" s="13" t="s">
        <v>279</v>
      </c>
      <c r="F370" s="13" t="s">
        <v>113</v>
      </c>
      <c r="G370" s="14">
        <f>G371</f>
        <v>456.2</v>
      </c>
      <c r="H370" s="87">
        <f>H371</f>
        <v>393.7</v>
      </c>
      <c r="I370" s="14">
        <f t="shared" si="41"/>
        <v>62.5</v>
      </c>
      <c r="J370" s="77">
        <f t="shared" si="42"/>
        <v>86.2998684787374</v>
      </c>
    </row>
    <row r="371" spans="1:10" ht="25.5">
      <c r="A371" s="46" t="s">
        <v>106</v>
      </c>
      <c r="B371" s="12" t="s">
        <v>560</v>
      </c>
      <c r="C371" s="13" t="s">
        <v>66</v>
      </c>
      <c r="D371" s="13" t="s">
        <v>70</v>
      </c>
      <c r="E371" s="13" t="s">
        <v>279</v>
      </c>
      <c r="F371" s="13" t="s">
        <v>107</v>
      </c>
      <c r="G371" s="14">
        <f>G372</f>
        <v>456.2</v>
      </c>
      <c r="H371" s="87">
        <f>H372</f>
        <v>393.7</v>
      </c>
      <c r="I371" s="14">
        <f t="shared" si="41"/>
        <v>62.5</v>
      </c>
      <c r="J371" s="77">
        <f t="shared" si="42"/>
        <v>86.2998684787374</v>
      </c>
    </row>
    <row r="372" spans="1:10" ht="25.5">
      <c r="A372" s="46" t="s">
        <v>108</v>
      </c>
      <c r="B372" s="12" t="s">
        <v>560</v>
      </c>
      <c r="C372" s="13" t="s">
        <v>66</v>
      </c>
      <c r="D372" s="13" t="s">
        <v>70</v>
      </c>
      <c r="E372" s="13" t="s">
        <v>279</v>
      </c>
      <c r="F372" s="13" t="s">
        <v>109</v>
      </c>
      <c r="G372" s="14">
        <f>22+42.4+5+176+1+81-2+70.5+60.3</f>
        <v>456.2</v>
      </c>
      <c r="H372" s="87">
        <v>393.7</v>
      </c>
      <c r="I372" s="14">
        <f t="shared" si="41"/>
        <v>62.5</v>
      </c>
      <c r="J372" s="77">
        <f t="shared" si="42"/>
        <v>86.2998684787374</v>
      </c>
    </row>
    <row r="373" spans="1:10" ht="12.75">
      <c r="A373" s="46" t="s">
        <v>137</v>
      </c>
      <c r="B373" s="12" t="s">
        <v>560</v>
      </c>
      <c r="C373" s="13" t="s">
        <v>66</v>
      </c>
      <c r="D373" s="13" t="s">
        <v>70</v>
      </c>
      <c r="E373" s="13" t="s">
        <v>279</v>
      </c>
      <c r="F373" s="13" t="s">
        <v>138</v>
      </c>
      <c r="G373" s="14">
        <f>G374</f>
        <v>2.5</v>
      </c>
      <c r="H373" s="87">
        <f>H374</f>
        <v>0</v>
      </c>
      <c r="I373" s="14">
        <f t="shared" si="41"/>
        <v>2.5</v>
      </c>
      <c r="J373" s="77">
        <f t="shared" si="42"/>
        <v>0</v>
      </c>
    </row>
    <row r="374" spans="1:10" ht="12.75">
      <c r="A374" s="46" t="s">
        <v>140</v>
      </c>
      <c r="B374" s="12" t="s">
        <v>560</v>
      </c>
      <c r="C374" s="13" t="s">
        <v>66</v>
      </c>
      <c r="D374" s="13" t="s">
        <v>70</v>
      </c>
      <c r="E374" s="13" t="s">
        <v>279</v>
      </c>
      <c r="F374" s="13" t="s">
        <v>141</v>
      </c>
      <c r="G374" s="14">
        <f>G375+G376+G377</f>
        <v>2.5</v>
      </c>
      <c r="H374" s="87">
        <f>H375+H376+H377</f>
        <v>0</v>
      </c>
      <c r="I374" s="14">
        <f t="shared" si="41"/>
        <v>2.5</v>
      </c>
      <c r="J374" s="77">
        <f t="shared" si="42"/>
        <v>0</v>
      </c>
    </row>
    <row r="375" spans="1:10" ht="12.75">
      <c r="A375" s="46" t="s">
        <v>142</v>
      </c>
      <c r="B375" s="12" t="s">
        <v>560</v>
      </c>
      <c r="C375" s="13" t="s">
        <v>66</v>
      </c>
      <c r="D375" s="13" t="s">
        <v>70</v>
      </c>
      <c r="E375" s="13" t="s">
        <v>279</v>
      </c>
      <c r="F375" s="13" t="s">
        <v>143</v>
      </c>
      <c r="G375" s="14">
        <v>0.5</v>
      </c>
      <c r="H375" s="87">
        <v>0</v>
      </c>
      <c r="I375" s="14">
        <f t="shared" si="41"/>
        <v>0.5</v>
      </c>
      <c r="J375" s="77">
        <f t="shared" si="42"/>
        <v>0</v>
      </c>
    </row>
    <row r="376" spans="1:10" ht="12.75">
      <c r="A376" s="46" t="s">
        <v>179</v>
      </c>
      <c r="B376" s="12" t="s">
        <v>560</v>
      </c>
      <c r="C376" s="13" t="s">
        <v>66</v>
      </c>
      <c r="D376" s="13" t="s">
        <v>70</v>
      </c>
      <c r="E376" s="13" t="s">
        <v>279</v>
      </c>
      <c r="F376" s="13" t="s">
        <v>144</v>
      </c>
      <c r="G376" s="14">
        <v>1</v>
      </c>
      <c r="H376" s="87">
        <v>0</v>
      </c>
      <c r="I376" s="14">
        <f t="shared" si="41"/>
        <v>1</v>
      </c>
      <c r="J376" s="77">
        <f t="shared" si="42"/>
        <v>0</v>
      </c>
    </row>
    <row r="377" spans="1:10" ht="12.75">
      <c r="A377" s="46" t="s">
        <v>180</v>
      </c>
      <c r="B377" s="12" t="s">
        <v>560</v>
      </c>
      <c r="C377" s="13" t="s">
        <v>66</v>
      </c>
      <c r="D377" s="13" t="s">
        <v>70</v>
      </c>
      <c r="E377" s="13" t="s">
        <v>279</v>
      </c>
      <c r="F377" s="13" t="s">
        <v>181</v>
      </c>
      <c r="G377" s="14">
        <v>1</v>
      </c>
      <c r="H377" s="87">
        <v>0</v>
      </c>
      <c r="I377" s="14">
        <f t="shared" si="41"/>
        <v>1</v>
      </c>
      <c r="J377" s="77">
        <f t="shared" si="42"/>
        <v>0</v>
      </c>
    </row>
    <row r="378" spans="1:10" ht="21" customHeight="1">
      <c r="A378" s="46" t="s">
        <v>184</v>
      </c>
      <c r="B378" s="12" t="s">
        <v>560</v>
      </c>
      <c r="C378" s="13" t="s">
        <v>66</v>
      </c>
      <c r="D378" s="13" t="s">
        <v>70</v>
      </c>
      <c r="E378" s="13" t="s">
        <v>283</v>
      </c>
      <c r="F378" s="13"/>
      <c r="G378" s="14">
        <f aca="true" t="shared" si="46" ref="G378:H380">G379</f>
        <v>3417</v>
      </c>
      <c r="H378" s="87">
        <f t="shared" si="46"/>
        <v>3390.2</v>
      </c>
      <c r="I378" s="14">
        <f t="shared" si="41"/>
        <v>26.800000000000182</v>
      </c>
      <c r="J378" s="77">
        <f t="shared" si="42"/>
        <v>99.21568627450979</v>
      </c>
    </row>
    <row r="379" spans="1:10" ht="12" customHeight="1">
      <c r="A379" s="46" t="s">
        <v>273</v>
      </c>
      <c r="B379" s="12" t="s">
        <v>560</v>
      </c>
      <c r="C379" s="13" t="s">
        <v>66</v>
      </c>
      <c r="D379" s="13" t="s">
        <v>70</v>
      </c>
      <c r="E379" s="13" t="s">
        <v>282</v>
      </c>
      <c r="F379" s="13"/>
      <c r="G379" s="14">
        <f t="shared" si="46"/>
        <v>3417</v>
      </c>
      <c r="H379" s="87">
        <f t="shared" si="46"/>
        <v>3390.2</v>
      </c>
      <c r="I379" s="14">
        <f t="shared" si="41"/>
        <v>26.800000000000182</v>
      </c>
      <c r="J379" s="77">
        <f t="shared" si="42"/>
        <v>99.21568627450979</v>
      </c>
    </row>
    <row r="380" spans="1:10" ht="38.25">
      <c r="A380" s="46" t="s">
        <v>110</v>
      </c>
      <c r="B380" s="12" t="s">
        <v>560</v>
      </c>
      <c r="C380" s="13" t="s">
        <v>66</v>
      </c>
      <c r="D380" s="13" t="s">
        <v>70</v>
      </c>
      <c r="E380" s="13" t="s">
        <v>282</v>
      </c>
      <c r="F380" s="13" t="s">
        <v>111</v>
      </c>
      <c r="G380" s="14">
        <f t="shared" si="46"/>
        <v>3417</v>
      </c>
      <c r="H380" s="87">
        <f t="shared" si="46"/>
        <v>3390.2</v>
      </c>
      <c r="I380" s="14">
        <f t="shared" si="41"/>
        <v>26.800000000000182</v>
      </c>
      <c r="J380" s="77">
        <f t="shared" si="42"/>
        <v>99.21568627450979</v>
      </c>
    </row>
    <row r="381" spans="1:10" ht="12.75">
      <c r="A381" s="46" t="s">
        <v>101</v>
      </c>
      <c r="B381" s="12" t="s">
        <v>560</v>
      </c>
      <c r="C381" s="13" t="s">
        <v>66</v>
      </c>
      <c r="D381" s="13" t="s">
        <v>70</v>
      </c>
      <c r="E381" s="13" t="s">
        <v>282</v>
      </c>
      <c r="F381" s="13" t="s">
        <v>102</v>
      </c>
      <c r="G381" s="14">
        <f>G382+G383</f>
        <v>3417</v>
      </c>
      <c r="H381" s="87">
        <f>H382+H383</f>
        <v>3390.2</v>
      </c>
      <c r="I381" s="14">
        <f t="shared" si="41"/>
        <v>26.800000000000182</v>
      </c>
      <c r="J381" s="77">
        <f t="shared" si="42"/>
        <v>99.21568627450979</v>
      </c>
    </row>
    <row r="382" spans="1:10" ht="12.75">
      <c r="A382" s="46" t="s">
        <v>176</v>
      </c>
      <c r="B382" s="12" t="s">
        <v>560</v>
      </c>
      <c r="C382" s="13" t="s">
        <v>66</v>
      </c>
      <c r="D382" s="13" t="s">
        <v>70</v>
      </c>
      <c r="E382" s="13" t="s">
        <v>282</v>
      </c>
      <c r="F382" s="13" t="s">
        <v>103</v>
      </c>
      <c r="G382" s="14">
        <f>2789.4+73.6</f>
        <v>2863</v>
      </c>
      <c r="H382" s="87">
        <v>2839.4</v>
      </c>
      <c r="I382" s="14">
        <f t="shared" si="41"/>
        <v>23.59999999999991</v>
      </c>
      <c r="J382" s="77">
        <f t="shared" si="42"/>
        <v>99.17568983583654</v>
      </c>
    </row>
    <row r="383" spans="1:10" ht="25.5">
      <c r="A383" s="46" t="s">
        <v>178</v>
      </c>
      <c r="B383" s="12" t="s">
        <v>560</v>
      </c>
      <c r="C383" s="13" t="s">
        <v>66</v>
      </c>
      <c r="D383" s="13" t="s">
        <v>70</v>
      </c>
      <c r="E383" s="13" t="s">
        <v>282</v>
      </c>
      <c r="F383" s="13" t="s">
        <v>177</v>
      </c>
      <c r="G383" s="14">
        <f>546.6+7.4</f>
        <v>554</v>
      </c>
      <c r="H383" s="87">
        <v>550.8</v>
      </c>
      <c r="I383" s="14">
        <f t="shared" si="41"/>
        <v>3.2000000000000455</v>
      </c>
      <c r="J383" s="77">
        <f t="shared" si="42"/>
        <v>99.42238267148014</v>
      </c>
    </row>
    <row r="384" spans="1:10" ht="25.5">
      <c r="A384" s="60" t="s">
        <v>79</v>
      </c>
      <c r="B384" s="37" t="s">
        <v>560</v>
      </c>
      <c r="C384" s="29" t="s">
        <v>66</v>
      </c>
      <c r="D384" s="29" t="s">
        <v>76</v>
      </c>
      <c r="E384" s="29"/>
      <c r="F384" s="29"/>
      <c r="G384" s="30">
        <f>G385+G395</f>
        <v>3151.9</v>
      </c>
      <c r="H384" s="105">
        <f>H385+H395</f>
        <v>2627.1000000000004</v>
      </c>
      <c r="I384" s="30">
        <f t="shared" si="41"/>
        <v>524.7999999999997</v>
      </c>
      <c r="J384" s="82">
        <f t="shared" si="42"/>
        <v>83.34972556235923</v>
      </c>
    </row>
    <row r="385" spans="1:10" ht="24" customHeight="1">
      <c r="A385" s="46" t="s">
        <v>557</v>
      </c>
      <c r="B385" s="12" t="s">
        <v>560</v>
      </c>
      <c r="C385" s="13" t="s">
        <v>66</v>
      </c>
      <c r="D385" s="13" t="s">
        <v>76</v>
      </c>
      <c r="E385" s="13" t="s">
        <v>251</v>
      </c>
      <c r="F385" s="13"/>
      <c r="G385" s="14">
        <f>G386</f>
        <v>77.69999999999999</v>
      </c>
      <c r="H385" s="87">
        <f>H386</f>
        <v>56.300000000000004</v>
      </c>
      <c r="I385" s="14">
        <f t="shared" si="41"/>
        <v>21.399999999999984</v>
      </c>
      <c r="J385" s="77">
        <f t="shared" si="42"/>
        <v>72.45817245817247</v>
      </c>
    </row>
    <row r="386" spans="1:10" ht="12.75">
      <c r="A386" s="46" t="s">
        <v>50</v>
      </c>
      <c r="B386" s="12" t="s">
        <v>560</v>
      </c>
      <c r="C386" s="13" t="s">
        <v>66</v>
      </c>
      <c r="D386" s="13" t="s">
        <v>76</v>
      </c>
      <c r="E386" s="13" t="s">
        <v>277</v>
      </c>
      <c r="F386" s="13"/>
      <c r="G386" s="14">
        <f>G387+G391</f>
        <v>77.69999999999999</v>
      </c>
      <c r="H386" s="87">
        <f>H387+H391</f>
        <v>56.300000000000004</v>
      </c>
      <c r="I386" s="14">
        <f t="shared" si="41"/>
        <v>21.399999999999984</v>
      </c>
      <c r="J386" s="77">
        <f t="shared" si="42"/>
        <v>72.45817245817247</v>
      </c>
    </row>
    <row r="387" spans="1:10" ht="12.75">
      <c r="A387" s="46" t="s">
        <v>273</v>
      </c>
      <c r="B387" s="12" t="s">
        <v>560</v>
      </c>
      <c r="C387" s="13" t="s">
        <v>66</v>
      </c>
      <c r="D387" s="13" t="s">
        <v>76</v>
      </c>
      <c r="E387" s="13" t="s">
        <v>278</v>
      </c>
      <c r="F387" s="13"/>
      <c r="G387" s="14">
        <f aca="true" t="shared" si="47" ref="G387:H389">G388</f>
        <v>8</v>
      </c>
      <c r="H387" s="87">
        <f t="shared" si="47"/>
        <v>7.2</v>
      </c>
      <c r="I387" s="14">
        <f t="shared" si="41"/>
        <v>0.7999999999999998</v>
      </c>
      <c r="J387" s="77">
        <f t="shared" si="42"/>
        <v>90</v>
      </c>
    </row>
    <row r="388" spans="1:10" ht="38.25">
      <c r="A388" s="46" t="s">
        <v>110</v>
      </c>
      <c r="B388" s="12" t="s">
        <v>560</v>
      </c>
      <c r="C388" s="13" t="s">
        <v>66</v>
      </c>
      <c r="D388" s="13" t="s">
        <v>76</v>
      </c>
      <c r="E388" s="13" t="s">
        <v>278</v>
      </c>
      <c r="F388" s="13" t="s">
        <v>111</v>
      </c>
      <c r="G388" s="14">
        <f t="shared" si="47"/>
        <v>8</v>
      </c>
      <c r="H388" s="87">
        <f t="shared" si="47"/>
        <v>7.2</v>
      </c>
      <c r="I388" s="14">
        <f t="shared" si="41"/>
        <v>0.7999999999999998</v>
      </c>
      <c r="J388" s="77">
        <f t="shared" si="42"/>
        <v>90</v>
      </c>
    </row>
    <row r="389" spans="1:10" ht="12.75">
      <c r="A389" s="46" t="s">
        <v>101</v>
      </c>
      <c r="B389" s="12" t="s">
        <v>560</v>
      </c>
      <c r="C389" s="13" t="s">
        <v>66</v>
      </c>
      <c r="D389" s="13" t="s">
        <v>76</v>
      </c>
      <c r="E389" s="13" t="s">
        <v>278</v>
      </c>
      <c r="F389" s="13" t="s">
        <v>102</v>
      </c>
      <c r="G389" s="14">
        <f t="shared" si="47"/>
        <v>8</v>
      </c>
      <c r="H389" s="87">
        <f t="shared" si="47"/>
        <v>7.2</v>
      </c>
      <c r="I389" s="14">
        <f t="shared" si="41"/>
        <v>0.7999999999999998</v>
      </c>
      <c r="J389" s="77">
        <f t="shared" si="42"/>
        <v>90</v>
      </c>
    </row>
    <row r="390" spans="1:10" ht="24" customHeight="1">
      <c r="A390" s="46" t="s">
        <v>104</v>
      </c>
      <c r="B390" s="12" t="s">
        <v>560</v>
      </c>
      <c r="C390" s="13" t="s">
        <v>66</v>
      </c>
      <c r="D390" s="13" t="s">
        <v>76</v>
      </c>
      <c r="E390" s="13" t="s">
        <v>278</v>
      </c>
      <c r="F390" s="13" t="s">
        <v>105</v>
      </c>
      <c r="G390" s="14">
        <f>6+10+20-28</f>
        <v>8</v>
      </c>
      <c r="H390" s="87">
        <v>7.2</v>
      </c>
      <c r="I390" s="14">
        <f t="shared" si="41"/>
        <v>0.7999999999999998</v>
      </c>
      <c r="J390" s="77">
        <f t="shared" si="42"/>
        <v>90</v>
      </c>
    </row>
    <row r="391" spans="1:10" ht="15.75" customHeight="1">
      <c r="A391" s="46" t="s">
        <v>274</v>
      </c>
      <c r="B391" s="12" t="s">
        <v>560</v>
      </c>
      <c r="C391" s="13" t="s">
        <v>66</v>
      </c>
      <c r="D391" s="13" t="s">
        <v>76</v>
      </c>
      <c r="E391" s="13" t="s">
        <v>279</v>
      </c>
      <c r="F391" s="13"/>
      <c r="G391" s="14">
        <f aca="true" t="shared" si="48" ref="G391:H393">G392</f>
        <v>69.69999999999999</v>
      </c>
      <c r="H391" s="87">
        <f t="shared" si="48"/>
        <v>49.1</v>
      </c>
      <c r="I391" s="14">
        <f t="shared" si="41"/>
        <v>20.599999999999987</v>
      </c>
      <c r="J391" s="77">
        <f t="shared" si="42"/>
        <v>70.44476327116213</v>
      </c>
    </row>
    <row r="392" spans="1:10" ht="25.5">
      <c r="A392" s="46" t="s">
        <v>770</v>
      </c>
      <c r="B392" s="12" t="s">
        <v>560</v>
      </c>
      <c r="C392" s="13" t="s">
        <v>66</v>
      </c>
      <c r="D392" s="13" t="s">
        <v>76</v>
      </c>
      <c r="E392" s="13" t="s">
        <v>279</v>
      </c>
      <c r="F392" s="13" t="s">
        <v>113</v>
      </c>
      <c r="G392" s="14">
        <f t="shared" si="48"/>
        <v>69.69999999999999</v>
      </c>
      <c r="H392" s="87">
        <f t="shared" si="48"/>
        <v>49.1</v>
      </c>
      <c r="I392" s="14">
        <f t="shared" si="41"/>
        <v>20.599999999999987</v>
      </c>
      <c r="J392" s="77">
        <f t="shared" si="42"/>
        <v>70.44476327116213</v>
      </c>
    </row>
    <row r="393" spans="1:10" ht="25.5">
      <c r="A393" s="46" t="s">
        <v>106</v>
      </c>
      <c r="B393" s="12" t="s">
        <v>560</v>
      </c>
      <c r="C393" s="13" t="s">
        <v>66</v>
      </c>
      <c r="D393" s="13" t="s">
        <v>76</v>
      </c>
      <c r="E393" s="13" t="s">
        <v>279</v>
      </c>
      <c r="F393" s="13" t="s">
        <v>107</v>
      </c>
      <c r="G393" s="14">
        <f t="shared" si="48"/>
        <v>69.69999999999999</v>
      </c>
      <c r="H393" s="87">
        <f t="shared" si="48"/>
        <v>49.1</v>
      </c>
      <c r="I393" s="14">
        <f t="shared" si="41"/>
        <v>20.599999999999987</v>
      </c>
      <c r="J393" s="77">
        <f t="shared" si="42"/>
        <v>70.44476327116213</v>
      </c>
    </row>
    <row r="394" spans="1:10" ht="25.5">
      <c r="A394" s="46" t="s">
        <v>108</v>
      </c>
      <c r="B394" s="12" t="s">
        <v>560</v>
      </c>
      <c r="C394" s="13" t="s">
        <v>66</v>
      </c>
      <c r="D394" s="13" t="s">
        <v>76</v>
      </c>
      <c r="E394" s="13" t="s">
        <v>279</v>
      </c>
      <c r="F394" s="13" t="s">
        <v>109</v>
      </c>
      <c r="G394" s="14">
        <f>12+23+63+15.2+150-150-43.5</f>
        <v>69.69999999999999</v>
      </c>
      <c r="H394" s="87">
        <v>49.1</v>
      </c>
      <c r="I394" s="14">
        <f aca="true" t="shared" si="49" ref="I394:I457">G394-H394</f>
        <v>20.599999999999987</v>
      </c>
      <c r="J394" s="77">
        <f aca="true" t="shared" si="50" ref="J394:J457">H394/G394*100</f>
        <v>70.44476327116213</v>
      </c>
    </row>
    <row r="395" spans="1:10" ht="24.75" customHeight="1">
      <c r="A395" s="46" t="s">
        <v>21</v>
      </c>
      <c r="B395" s="12" t="s">
        <v>560</v>
      </c>
      <c r="C395" s="13" t="s">
        <v>66</v>
      </c>
      <c r="D395" s="13" t="s">
        <v>76</v>
      </c>
      <c r="E395" s="13" t="s">
        <v>284</v>
      </c>
      <c r="F395" s="13"/>
      <c r="G395" s="14">
        <f aca="true" t="shared" si="51" ref="G395:H397">G396</f>
        <v>3074.2000000000003</v>
      </c>
      <c r="H395" s="87">
        <f t="shared" si="51"/>
        <v>2570.8</v>
      </c>
      <c r="I395" s="14">
        <f t="shared" si="49"/>
        <v>503.4000000000001</v>
      </c>
      <c r="J395" s="77">
        <f t="shared" si="50"/>
        <v>83.62500813219698</v>
      </c>
    </row>
    <row r="396" spans="1:10" ht="18" customHeight="1">
      <c r="A396" s="46" t="s">
        <v>273</v>
      </c>
      <c r="B396" s="12" t="s">
        <v>560</v>
      </c>
      <c r="C396" s="13" t="s">
        <v>66</v>
      </c>
      <c r="D396" s="13" t="s">
        <v>76</v>
      </c>
      <c r="E396" s="13" t="s">
        <v>285</v>
      </c>
      <c r="F396" s="13"/>
      <c r="G396" s="14">
        <f t="shared" si="51"/>
        <v>3074.2000000000003</v>
      </c>
      <c r="H396" s="87">
        <f t="shared" si="51"/>
        <v>2570.8</v>
      </c>
      <c r="I396" s="14">
        <f t="shared" si="49"/>
        <v>503.4000000000001</v>
      </c>
      <c r="J396" s="77">
        <f t="shared" si="50"/>
        <v>83.62500813219698</v>
      </c>
    </row>
    <row r="397" spans="1:10" ht="38.25">
      <c r="A397" s="46" t="s">
        <v>110</v>
      </c>
      <c r="B397" s="12" t="s">
        <v>560</v>
      </c>
      <c r="C397" s="13" t="s">
        <v>66</v>
      </c>
      <c r="D397" s="13" t="s">
        <v>76</v>
      </c>
      <c r="E397" s="13" t="s">
        <v>285</v>
      </c>
      <c r="F397" s="13" t="s">
        <v>111</v>
      </c>
      <c r="G397" s="14">
        <f t="shared" si="51"/>
        <v>3074.2000000000003</v>
      </c>
      <c r="H397" s="87">
        <f t="shared" si="51"/>
        <v>2570.8</v>
      </c>
      <c r="I397" s="14">
        <f t="shared" si="49"/>
        <v>503.4000000000001</v>
      </c>
      <c r="J397" s="77">
        <f t="shared" si="50"/>
        <v>83.62500813219698</v>
      </c>
    </row>
    <row r="398" spans="1:10" ht="12.75">
      <c r="A398" s="46" t="s">
        <v>101</v>
      </c>
      <c r="B398" s="12" t="s">
        <v>560</v>
      </c>
      <c r="C398" s="13" t="s">
        <v>66</v>
      </c>
      <c r="D398" s="13" t="s">
        <v>76</v>
      </c>
      <c r="E398" s="13" t="s">
        <v>285</v>
      </c>
      <c r="F398" s="13" t="s">
        <v>102</v>
      </c>
      <c r="G398" s="14">
        <f>G399+G400</f>
        <v>3074.2000000000003</v>
      </c>
      <c r="H398" s="87">
        <f>H399+H400</f>
        <v>2570.8</v>
      </c>
      <c r="I398" s="14">
        <f t="shared" si="49"/>
        <v>503.4000000000001</v>
      </c>
      <c r="J398" s="77">
        <f t="shared" si="50"/>
        <v>83.62500813219698</v>
      </c>
    </row>
    <row r="399" spans="1:10" ht="12.75">
      <c r="A399" s="46" t="s">
        <v>176</v>
      </c>
      <c r="B399" s="12" t="s">
        <v>560</v>
      </c>
      <c r="C399" s="13" t="s">
        <v>66</v>
      </c>
      <c r="D399" s="13" t="s">
        <v>76</v>
      </c>
      <c r="E399" s="13" t="s">
        <v>285</v>
      </c>
      <c r="F399" s="13" t="s">
        <v>103</v>
      </c>
      <c r="G399" s="14">
        <v>2364.8</v>
      </c>
      <c r="H399" s="87">
        <v>1957.4</v>
      </c>
      <c r="I399" s="14">
        <f t="shared" si="49"/>
        <v>407.4000000000001</v>
      </c>
      <c r="J399" s="77">
        <f t="shared" si="50"/>
        <v>82.77232746955346</v>
      </c>
    </row>
    <row r="400" spans="1:10" ht="26.25" customHeight="1">
      <c r="A400" s="46" t="s">
        <v>178</v>
      </c>
      <c r="B400" s="12" t="s">
        <v>560</v>
      </c>
      <c r="C400" s="13" t="s">
        <v>66</v>
      </c>
      <c r="D400" s="13" t="s">
        <v>76</v>
      </c>
      <c r="E400" s="13" t="s">
        <v>285</v>
      </c>
      <c r="F400" s="13" t="s">
        <v>177</v>
      </c>
      <c r="G400" s="14">
        <v>709.4</v>
      </c>
      <c r="H400" s="87">
        <v>613.4</v>
      </c>
      <c r="I400" s="14">
        <f t="shared" si="49"/>
        <v>96</v>
      </c>
      <c r="J400" s="77">
        <f t="shared" si="50"/>
        <v>86.46743727093317</v>
      </c>
    </row>
    <row r="401" spans="1:10" ht="25.5">
      <c r="A401" s="60" t="s">
        <v>185</v>
      </c>
      <c r="B401" s="37" t="s">
        <v>561</v>
      </c>
      <c r="C401" s="13"/>
      <c r="D401" s="13"/>
      <c r="E401" s="13"/>
      <c r="F401" s="13"/>
      <c r="G401" s="30">
        <f>G402+G441+G464+G472</f>
        <v>45817.5</v>
      </c>
      <c r="H401" s="105">
        <f>H402+H441+H464+H472</f>
        <v>45500.6</v>
      </c>
      <c r="I401" s="30">
        <f t="shared" si="49"/>
        <v>316.90000000000146</v>
      </c>
      <c r="J401" s="82">
        <f t="shared" si="50"/>
        <v>99.30834288208654</v>
      </c>
    </row>
    <row r="402" spans="1:10" ht="12.75">
      <c r="A402" s="65" t="s">
        <v>2</v>
      </c>
      <c r="B402" s="29" t="s">
        <v>561</v>
      </c>
      <c r="C402" s="29" t="s">
        <v>66</v>
      </c>
      <c r="D402" s="29" t="s">
        <v>36</v>
      </c>
      <c r="E402" s="13"/>
      <c r="F402" s="13"/>
      <c r="G402" s="30">
        <f>G403</f>
        <v>21996</v>
      </c>
      <c r="H402" s="105">
        <f>H403</f>
        <v>21679.1</v>
      </c>
      <c r="I402" s="30">
        <f t="shared" si="49"/>
        <v>316.90000000000146</v>
      </c>
      <c r="J402" s="82">
        <f t="shared" si="50"/>
        <v>98.55928350609202</v>
      </c>
    </row>
    <row r="403" spans="1:10" ht="12.75">
      <c r="A403" s="60" t="s">
        <v>63</v>
      </c>
      <c r="B403" s="37" t="s">
        <v>561</v>
      </c>
      <c r="C403" s="29" t="s">
        <v>66</v>
      </c>
      <c r="D403" s="29" t="s">
        <v>89</v>
      </c>
      <c r="E403" s="13"/>
      <c r="F403" s="13"/>
      <c r="G403" s="30">
        <f>G424+G404</f>
        <v>21996</v>
      </c>
      <c r="H403" s="105">
        <f>H424+H404</f>
        <v>21679.1</v>
      </c>
      <c r="I403" s="30">
        <f t="shared" si="49"/>
        <v>316.90000000000146</v>
      </c>
      <c r="J403" s="82">
        <f t="shared" si="50"/>
        <v>98.55928350609202</v>
      </c>
    </row>
    <row r="404" spans="1:10" ht="25.5">
      <c r="A404" s="46" t="s">
        <v>369</v>
      </c>
      <c r="B404" s="12" t="s">
        <v>561</v>
      </c>
      <c r="C404" s="13" t="s">
        <v>66</v>
      </c>
      <c r="D404" s="13" t="s">
        <v>89</v>
      </c>
      <c r="E404" s="45" t="s">
        <v>370</v>
      </c>
      <c r="F404" s="29"/>
      <c r="G404" s="14">
        <f>G405</f>
        <v>20000</v>
      </c>
      <c r="H404" s="87">
        <f>H405</f>
        <v>19943.8</v>
      </c>
      <c r="I404" s="14">
        <f t="shared" si="49"/>
        <v>56.20000000000073</v>
      </c>
      <c r="J404" s="77">
        <f t="shared" si="50"/>
        <v>99.719</v>
      </c>
    </row>
    <row r="405" spans="1:10" ht="44.25" customHeight="1">
      <c r="A405" s="46" t="s">
        <v>577</v>
      </c>
      <c r="B405" s="12" t="s">
        <v>561</v>
      </c>
      <c r="C405" s="13" t="s">
        <v>66</v>
      </c>
      <c r="D405" s="13" t="s">
        <v>89</v>
      </c>
      <c r="E405" s="45" t="s">
        <v>442</v>
      </c>
      <c r="F405" s="29"/>
      <c r="G405" s="14">
        <f>G406+G410</f>
        <v>20000</v>
      </c>
      <c r="H405" s="87">
        <f>H406+H410</f>
        <v>19943.8</v>
      </c>
      <c r="I405" s="14">
        <f t="shared" si="49"/>
        <v>56.20000000000073</v>
      </c>
      <c r="J405" s="77">
        <f t="shared" si="50"/>
        <v>99.719</v>
      </c>
    </row>
    <row r="406" spans="1:10" ht="51">
      <c r="A406" s="46" t="s">
        <v>271</v>
      </c>
      <c r="B406" s="12" t="s">
        <v>561</v>
      </c>
      <c r="C406" s="13" t="s">
        <v>66</v>
      </c>
      <c r="D406" s="13" t="s">
        <v>89</v>
      </c>
      <c r="E406" s="45" t="s">
        <v>443</v>
      </c>
      <c r="F406" s="29"/>
      <c r="G406" s="14">
        <f aca="true" t="shared" si="52" ref="G406:H408">G407</f>
        <v>75.3</v>
      </c>
      <c r="H406" s="87">
        <f t="shared" si="52"/>
        <v>75.3</v>
      </c>
      <c r="I406" s="14">
        <f t="shared" si="49"/>
        <v>0</v>
      </c>
      <c r="J406" s="77">
        <f t="shared" si="50"/>
        <v>100</v>
      </c>
    </row>
    <row r="407" spans="1:10" ht="38.25">
      <c r="A407" s="46" t="s">
        <v>110</v>
      </c>
      <c r="B407" s="12" t="s">
        <v>561</v>
      </c>
      <c r="C407" s="13" t="s">
        <v>66</v>
      </c>
      <c r="D407" s="13" t="s">
        <v>89</v>
      </c>
      <c r="E407" s="45" t="s">
        <v>443</v>
      </c>
      <c r="F407" s="13" t="s">
        <v>111</v>
      </c>
      <c r="G407" s="14">
        <f t="shared" si="52"/>
        <v>75.3</v>
      </c>
      <c r="H407" s="87">
        <f t="shared" si="52"/>
        <v>75.3</v>
      </c>
      <c r="I407" s="14">
        <f t="shared" si="49"/>
        <v>0</v>
      </c>
      <c r="J407" s="77">
        <f t="shared" si="50"/>
        <v>100</v>
      </c>
    </row>
    <row r="408" spans="1:10" ht="20.25" customHeight="1">
      <c r="A408" s="46" t="s">
        <v>406</v>
      </c>
      <c r="B408" s="12" t="s">
        <v>561</v>
      </c>
      <c r="C408" s="13" t="s">
        <v>66</v>
      </c>
      <c r="D408" s="13" t="s">
        <v>89</v>
      </c>
      <c r="E408" s="45" t="s">
        <v>443</v>
      </c>
      <c r="F408" s="13" t="s">
        <v>408</v>
      </c>
      <c r="G408" s="14">
        <f t="shared" si="52"/>
        <v>75.3</v>
      </c>
      <c r="H408" s="87">
        <f t="shared" si="52"/>
        <v>75.3</v>
      </c>
      <c r="I408" s="14">
        <f t="shared" si="49"/>
        <v>0</v>
      </c>
      <c r="J408" s="77">
        <f t="shared" si="50"/>
        <v>100</v>
      </c>
    </row>
    <row r="409" spans="1:10" ht="12.75">
      <c r="A409" s="46" t="s">
        <v>574</v>
      </c>
      <c r="B409" s="12" t="s">
        <v>561</v>
      </c>
      <c r="C409" s="13" t="s">
        <v>66</v>
      </c>
      <c r="D409" s="13" t="s">
        <v>89</v>
      </c>
      <c r="E409" s="45" t="s">
        <v>443</v>
      </c>
      <c r="F409" s="13" t="s">
        <v>407</v>
      </c>
      <c r="G409" s="14">
        <f>200-124.7</f>
        <v>75.3</v>
      </c>
      <c r="H409" s="87">
        <v>75.3</v>
      </c>
      <c r="I409" s="14">
        <f t="shared" si="49"/>
        <v>0</v>
      </c>
      <c r="J409" s="77">
        <f t="shared" si="50"/>
        <v>100</v>
      </c>
    </row>
    <row r="410" spans="1:10" ht="12.75">
      <c r="A410" s="46" t="s">
        <v>288</v>
      </c>
      <c r="B410" s="12" t="s">
        <v>561</v>
      </c>
      <c r="C410" s="13" t="s">
        <v>66</v>
      </c>
      <c r="D410" s="13" t="s">
        <v>89</v>
      </c>
      <c r="E410" s="45" t="s">
        <v>444</v>
      </c>
      <c r="F410" s="29"/>
      <c r="G410" s="30">
        <f>G411+G416+G419</f>
        <v>19924.7</v>
      </c>
      <c r="H410" s="105">
        <f>H411+H416+H419</f>
        <v>19868.5</v>
      </c>
      <c r="I410" s="30">
        <f t="shared" si="49"/>
        <v>56.20000000000073</v>
      </c>
      <c r="J410" s="82">
        <f t="shared" si="50"/>
        <v>99.7179380367082</v>
      </c>
    </row>
    <row r="411" spans="1:10" ht="38.25">
      <c r="A411" s="46" t="s">
        <v>110</v>
      </c>
      <c r="B411" s="12" t="s">
        <v>561</v>
      </c>
      <c r="C411" s="13" t="s">
        <v>66</v>
      </c>
      <c r="D411" s="13" t="s">
        <v>89</v>
      </c>
      <c r="E411" s="45" t="s">
        <v>444</v>
      </c>
      <c r="F411" s="13" t="s">
        <v>111</v>
      </c>
      <c r="G411" s="14">
        <f>G412</f>
        <v>15173.5</v>
      </c>
      <c r="H411" s="87">
        <f>H412</f>
        <v>15139.7</v>
      </c>
      <c r="I411" s="14">
        <f t="shared" si="49"/>
        <v>33.79999999999927</v>
      </c>
      <c r="J411" s="77">
        <f t="shared" si="50"/>
        <v>99.77724322008766</v>
      </c>
    </row>
    <row r="412" spans="1:10" ht="12.75">
      <c r="A412" s="46" t="s">
        <v>406</v>
      </c>
      <c r="B412" s="12" t="s">
        <v>561</v>
      </c>
      <c r="C412" s="13" t="s">
        <v>66</v>
      </c>
      <c r="D412" s="13" t="s">
        <v>89</v>
      </c>
      <c r="E412" s="45" t="s">
        <v>444</v>
      </c>
      <c r="F412" s="13" t="s">
        <v>408</v>
      </c>
      <c r="G412" s="14">
        <f>G413+G414+G415</f>
        <v>15173.5</v>
      </c>
      <c r="H412" s="87">
        <f>H413+H414+H415</f>
        <v>15139.7</v>
      </c>
      <c r="I412" s="14">
        <f t="shared" si="49"/>
        <v>33.79999999999927</v>
      </c>
      <c r="J412" s="77">
        <f t="shared" si="50"/>
        <v>99.77724322008766</v>
      </c>
    </row>
    <row r="413" spans="1:10" ht="12.75">
      <c r="A413" s="46" t="s">
        <v>573</v>
      </c>
      <c r="B413" s="12" t="s">
        <v>561</v>
      </c>
      <c r="C413" s="13" t="s">
        <v>66</v>
      </c>
      <c r="D413" s="13" t="s">
        <v>89</v>
      </c>
      <c r="E413" s="45" t="s">
        <v>444</v>
      </c>
      <c r="F413" s="13" t="s">
        <v>409</v>
      </c>
      <c r="G413" s="14">
        <f>14077-2427</f>
        <v>11650</v>
      </c>
      <c r="H413" s="87">
        <v>11637.6</v>
      </c>
      <c r="I413" s="14">
        <f t="shared" si="49"/>
        <v>12.399999999999636</v>
      </c>
      <c r="J413" s="77">
        <f t="shared" si="50"/>
        <v>99.89356223175966</v>
      </c>
    </row>
    <row r="414" spans="1:10" ht="12.75">
      <c r="A414" s="46" t="s">
        <v>574</v>
      </c>
      <c r="B414" s="12" t="s">
        <v>561</v>
      </c>
      <c r="C414" s="13" t="s">
        <v>66</v>
      </c>
      <c r="D414" s="13" t="s">
        <v>89</v>
      </c>
      <c r="E414" s="45" t="s">
        <v>444</v>
      </c>
      <c r="F414" s="13" t="s">
        <v>407</v>
      </c>
      <c r="G414" s="14">
        <f>138-54.5</f>
        <v>83.5</v>
      </c>
      <c r="H414" s="87">
        <v>83.5</v>
      </c>
      <c r="I414" s="14">
        <f t="shared" si="49"/>
        <v>0</v>
      </c>
      <c r="J414" s="77">
        <f t="shared" si="50"/>
        <v>100</v>
      </c>
    </row>
    <row r="415" spans="1:10" ht="25.5">
      <c r="A415" s="46" t="s">
        <v>576</v>
      </c>
      <c r="B415" s="12" t="s">
        <v>561</v>
      </c>
      <c r="C415" s="13" t="s">
        <v>66</v>
      </c>
      <c r="D415" s="13" t="s">
        <v>89</v>
      </c>
      <c r="E415" s="45" t="s">
        <v>444</v>
      </c>
      <c r="F415" s="13" t="s">
        <v>410</v>
      </c>
      <c r="G415" s="14">
        <f>4251.1-811.1</f>
        <v>3440.0000000000005</v>
      </c>
      <c r="H415" s="87">
        <v>3418.6</v>
      </c>
      <c r="I415" s="14">
        <f t="shared" si="49"/>
        <v>21.400000000000546</v>
      </c>
      <c r="J415" s="77">
        <f t="shared" si="50"/>
        <v>99.37790697674417</v>
      </c>
    </row>
    <row r="416" spans="1:10" ht="25.5">
      <c r="A416" s="46" t="s">
        <v>770</v>
      </c>
      <c r="B416" s="12" t="s">
        <v>561</v>
      </c>
      <c r="C416" s="13" t="s">
        <v>66</v>
      </c>
      <c r="D416" s="13" t="s">
        <v>89</v>
      </c>
      <c r="E416" s="45" t="s">
        <v>444</v>
      </c>
      <c r="F416" s="13" t="s">
        <v>113</v>
      </c>
      <c r="G416" s="14">
        <f>G417</f>
        <v>4699.7</v>
      </c>
      <c r="H416" s="87">
        <f>H417</f>
        <v>4677.3</v>
      </c>
      <c r="I416" s="14">
        <f t="shared" si="49"/>
        <v>22.399999999999636</v>
      </c>
      <c r="J416" s="77">
        <f t="shared" si="50"/>
        <v>99.52337383237229</v>
      </c>
    </row>
    <row r="417" spans="1:10" ht="25.5">
      <c r="A417" s="46" t="s">
        <v>106</v>
      </c>
      <c r="B417" s="12" t="s">
        <v>561</v>
      </c>
      <c r="C417" s="13" t="s">
        <v>66</v>
      </c>
      <c r="D417" s="13" t="s">
        <v>89</v>
      </c>
      <c r="E417" s="45" t="s">
        <v>444</v>
      </c>
      <c r="F417" s="13" t="s">
        <v>107</v>
      </c>
      <c r="G417" s="14">
        <f>G418</f>
        <v>4699.7</v>
      </c>
      <c r="H417" s="87">
        <f>H418</f>
        <v>4677.3</v>
      </c>
      <c r="I417" s="14">
        <f t="shared" si="49"/>
        <v>22.399999999999636</v>
      </c>
      <c r="J417" s="77">
        <f t="shared" si="50"/>
        <v>99.52337383237229</v>
      </c>
    </row>
    <row r="418" spans="1:10" ht="25.5">
      <c r="A418" s="46" t="s">
        <v>108</v>
      </c>
      <c r="B418" s="12" t="s">
        <v>561</v>
      </c>
      <c r="C418" s="13" t="s">
        <v>66</v>
      </c>
      <c r="D418" s="13" t="s">
        <v>89</v>
      </c>
      <c r="E418" s="45" t="s">
        <v>444</v>
      </c>
      <c r="F418" s="13" t="s">
        <v>109</v>
      </c>
      <c r="G418" s="14">
        <f>604.7+500+557.8+64.4+200+2590+690-63-441.7-2.5</f>
        <v>4699.7</v>
      </c>
      <c r="H418" s="87">
        <v>4677.3</v>
      </c>
      <c r="I418" s="14">
        <f t="shared" si="49"/>
        <v>22.399999999999636</v>
      </c>
      <c r="J418" s="77">
        <f t="shared" si="50"/>
        <v>99.52337383237229</v>
      </c>
    </row>
    <row r="419" spans="1:10" ht="12.75">
      <c r="A419" s="46" t="s">
        <v>137</v>
      </c>
      <c r="B419" s="12" t="s">
        <v>561</v>
      </c>
      <c r="C419" s="13" t="s">
        <v>66</v>
      </c>
      <c r="D419" s="13" t="s">
        <v>89</v>
      </c>
      <c r="E419" s="45" t="s">
        <v>444</v>
      </c>
      <c r="F419" s="13" t="s">
        <v>138</v>
      </c>
      <c r="G419" s="14">
        <f>G420</f>
        <v>51.5</v>
      </c>
      <c r="H419" s="87">
        <f>H420</f>
        <v>51.5</v>
      </c>
      <c r="I419" s="14">
        <f t="shared" si="49"/>
        <v>0</v>
      </c>
      <c r="J419" s="77">
        <f t="shared" si="50"/>
        <v>100</v>
      </c>
    </row>
    <row r="420" spans="1:10" ht="12.75">
      <c r="A420" s="46" t="s">
        <v>140</v>
      </c>
      <c r="B420" s="12" t="s">
        <v>561</v>
      </c>
      <c r="C420" s="13" t="s">
        <v>66</v>
      </c>
      <c r="D420" s="13" t="s">
        <v>89</v>
      </c>
      <c r="E420" s="45" t="s">
        <v>444</v>
      </c>
      <c r="F420" s="13" t="s">
        <v>141</v>
      </c>
      <c r="G420" s="14">
        <f>G422+G423+G421</f>
        <v>51.5</v>
      </c>
      <c r="H420" s="87">
        <f>H422+H423+H421</f>
        <v>51.5</v>
      </c>
      <c r="I420" s="14">
        <f t="shared" si="49"/>
        <v>0</v>
      </c>
      <c r="J420" s="77">
        <f t="shared" si="50"/>
        <v>100</v>
      </c>
    </row>
    <row r="421" spans="1:10" ht="12.75">
      <c r="A421" s="9" t="s">
        <v>142</v>
      </c>
      <c r="B421" s="12" t="s">
        <v>561</v>
      </c>
      <c r="C421" s="13" t="s">
        <v>66</v>
      </c>
      <c r="D421" s="13" t="s">
        <v>89</v>
      </c>
      <c r="E421" s="45" t="s">
        <v>444</v>
      </c>
      <c r="F421" s="13" t="s">
        <v>143</v>
      </c>
      <c r="G421" s="14">
        <f>10+25-1.3</f>
        <v>33.7</v>
      </c>
      <c r="H421" s="87">
        <v>33.7</v>
      </c>
      <c r="I421" s="14">
        <f t="shared" si="49"/>
        <v>0</v>
      </c>
      <c r="J421" s="77">
        <f t="shared" si="50"/>
        <v>100</v>
      </c>
    </row>
    <row r="422" spans="1:10" ht="12.75">
      <c r="A422" s="46" t="s">
        <v>179</v>
      </c>
      <c r="B422" s="12" t="s">
        <v>561</v>
      </c>
      <c r="C422" s="13" t="s">
        <v>66</v>
      </c>
      <c r="D422" s="13" t="s">
        <v>89</v>
      </c>
      <c r="E422" s="45" t="s">
        <v>444</v>
      </c>
      <c r="F422" s="13" t="s">
        <v>144</v>
      </c>
      <c r="G422" s="14">
        <f>14+38-37.7+2.5</f>
        <v>16.799999999999997</v>
      </c>
      <c r="H422" s="87">
        <v>16.8</v>
      </c>
      <c r="I422" s="14">
        <f t="shared" si="49"/>
        <v>0</v>
      </c>
      <c r="J422" s="77">
        <f t="shared" si="50"/>
        <v>100.00000000000003</v>
      </c>
    </row>
    <row r="423" spans="1:10" ht="12.75">
      <c r="A423" s="46" t="s">
        <v>180</v>
      </c>
      <c r="B423" s="12" t="s">
        <v>561</v>
      </c>
      <c r="C423" s="13" t="s">
        <v>66</v>
      </c>
      <c r="D423" s="13" t="s">
        <v>89</v>
      </c>
      <c r="E423" s="45" t="s">
        <v>444</v>
      </c>
      <c r="F423" s="13" t="s">
        <v>181</v>
      </c>
      <c r="G423" s="14">
        <f>3-2</f>
        <v>1</v>
      </c>
      <c r="H423" s="87">
        <v>1</v>
      </c>
      <c r="I423" s="14">
        <f t="shared" si="49"/>
        <v>0</v>
      </c>
      <c r="J423" s="77">
        <f t="shared" si="50"/>
        <v>100</v>
      </c>
    </row>
    <row r="424" spans="1:10" ht="25.5">
      <c r="A424" s="46" t="s">
        <v>241</v>
      </c>
      <c r="B424" s="12" t="s">
        <v>561</v>
      </c>
      <c r="C424" s="13" t="s">
        <v>66</v>
      </c>
      <c r="D424" s="13" t="s">
        <v>89</v>
      </c>
      <c r="E424" s="13" t="s">
        <v>260</v>
      </c>
      <c r="F424" s="13"/>
      <c r="G424" s="14">
        <f>G425</f>
        <v>1996</v>
      </c>
      <c r="H424" s="87">
        <f>H425</f>
        <v>1735.3</v>
      </c>
      <c r="I424" s="14">
        <f t="shared" si="49"/>
        <v>260.70000000000005</v>
      </c>
      <c r="J424" s="77">
        <f t="shared" si="50"/>
        <v>86.93887775551103</v>
      </c>
    </row>
    <row r="425" spans="1:10" ht="25.5">
      <c r="A425" s="46" t="s">
        <v>289</v>
      </c>
      <c r="B425" s="12" t="s">
        <v>561</v>
      </c>
      <c r="C425" s="13" t="s">
        <v>66</v>
      </c>
      <c r="D425" s="13" t="s">
        <v>89</v>
      </c>
      <c r="E425" s="13" t="s">
        <v>507</v>
      </c>
      <c r="F425" s="13"/>
      <c r="G425" s="14">
        <f>G430+G434+G426</f>
        <v>1996</v>
      </c>
      <c r="H425" s="87">
        <f>H430+H434+H426</f>
        <v>1735.3</v>
      </c>
      <c r="I425" s="14">
        <f t="shared" si="49"/>
        <v>260.70000000000005</v>
      </c>
      <c r="J425" s="77">
        <f t="shared" si="50"/>
        <v>86.93887775551103</v>
      </c>
    </row>
    <row r="426" spans="1:10" ht="12.75">
      <c r="A426" s="9" t="s">
        <v>625</v>
      </c>
      <c r="B426" s="12" t="s">
        <v>561</v>
      </c>
      <c r="C426" s="13" t="s">
        <v>66</v>
      </c>
      <c r="D426" s="13" t="s">
        <v>89</v>
      </c>
      <c r="E426" s="13" t="s">
        <v>626</v>
      </c>
      <c r="F426" s="13"/>
      <c r="G426" s="14">
        <f aca="true" t="shared" si="53" ref="G426:H428">G427</f>
        <v>550</v>
      </c>
      <c r="H426" s="87">
        <f t="shared" si="53"/>
        <v>550</v>
      </c>
      <c r="I426" s="14">
        <f t="shared" si="49"/>
        <v>0</v>
      </c>
      <c r="J426" s="77">
        <f t="shared" si="50"/>
        <v>100</v>
      </c>
    </row>
    <row r="427" spans="1:10" ht="12.75">
      <c r="A427" s="9" t="s">
        <v>112</v>
      </c>
      <c r="B427" s="12" t="s">
        <v>561</v>
      </c>
      <c r="C427" s="13" t="s">
        <v>66</v>
      </c>
      <c r="D427" s="13" t="s">
        <v>89</v>
      </c>
      <c r="E427" s="13" t="s">
        <v>626</v>
      </c>
      <c r="F427" s="13" t="s">
        <v>113</v>
      </c>
      <c r="G427" s="14">
        <f t="shared" si="53"/>
        <v>550</v>
      </c>
      <c r="H427" s="87">
        <f t="shared" si="53"/>
        <v>550</v>
      </c>
      <c r="I427" s="14">
        <f t="shared" si="49"/>
        <v>0</v>
      </c>
      <c r="J427" s="77">
        <f t="shared" si="50"/>
        <v>100</v>
      </c>
    </row>
    <row r="428" spans="1:10" ht="25.5">
      <c r="A428" s="9" t="s">
        <v>106</v>
      </c>
      <c r="B428" s="12" t="s">
        <v>561</v>
      </c>
      <c r="C428" s="13" t="s">
        <v>66</v>
      </c>
      <c r="D428" s="13" t="s">
        <v>89</v>
      </c>
      <c r="E428" s="13" t="s">
        <v>626</v>
      </c>
      <c r="F428" s="13" t="s">
        <v>107</v>
      </c>
      <c r="G428" s="14">
        <f t="shared" si="53"/>
        <v>550</v>
      </c>
      <c r="H428" s="87">
        <f t="shared" si="53"/>
        <v>550</v>
      </c>
      <c r="I428" s="14">
        <f t="shared" si="49"/>
        <v>0</v>
      </c>
      <c r="J428" s="77">
        <f t="shared" si="50"/>
        <v>100</v>
      </c>
    </row>
    <row r="429" spans="1:10" ht="25.5">
      <c r="A429" s="9" t="s">
        <v>108</v>
      </c>
      <c r="B429" s="12" t="s">
        <v>561</v>
      </c>
      <c r="C429" s="13" t="s">
        <v>66</v>
      </c>
      <c r="D429" s="13" t="s">
        <v>89</v>
      </c>
      <c r="E429" s="13" t="s">
        <v>626</v>
      </c>
      <c r="F429" s="13" t="s">
        <v>109</v>
      </c>
      <c r="G429" s="14">
        <v>550</v>
      </c>
      <c r="H429" s="87">
        <v>550</v>
      </c>
      <c r="I429" s="14">
        <f t="shared" si="49"/>
        <v>0</v>
      </c>
      <c r="J429" s="77">
        <f t="shared" si="50"/>
        <v>100</v>
      </c>
    </row>
    <row r="430" spans="1:10" ht="12.75">
      <c r="A430" s="46" t="s">
        <v>536</v>
      </c>
      <c r="B430" s="12" t="s">
        <v>561</v>
      </c>
      <c r="C430" s="13" t="s">
        <v>66</v>
      </c>
      <c r="D430" s="13" t="s">
        <v>89</v>
      </c>
      <c r="E430" s="13" t="s">
        <v>538</v>
      </c>
      <c r="F430" s="13"/>
      <c r="G430" s="14">
        <f aca="true" t="shared" si="54" ref="G430:H432">G431</f>
        <v>1106</v>
      </c>
      <c r="H430" s="87">
        <f t="shared" si="54"/>
        <v>1045.3</v>
      </c>
      <c r="I430" s="14">
        <f t="shared" si="49"/>
        <v>60.700000000000045</v>
      </c>
      <c r="J430" s="77">
        <f t="shared" si="50"/>
        <v>94.51175406871609</v>
      </c>
    </row>
    <row r="431" spans="1:10" ht="25.5">
      <c r="A431" s="46" t="s">
        <v>770</v>
      </c>
      <c r="B431" s="12" t="s">
        <v>561</v>
      </c>
      <c r="C431" s="13" t="s">
        <v>66</v>
      </c>
      <c r="D431" s="13" t="s">
        <v>89</v>
      </c>
      <c r="E431" s="13" t="s">
        <v>538</v>
      </c>
      <c r="F431" s="13" t="s">
        <v>113</v>
      </c>
      <c r="G431" s="14">
        <f t="shared" si="54"/>
        <v>1106</v>
      </c>
      <c r="H431" s="87">
        <f t="shared" si="54"/>
        <v>1045.3</v>
      </c>
      <c r="I431" s="14">
        <f t="shared" si="49"/>
        <v>60.700000000000045</v>
      </c>
      <c r="J431" s="77">
        <f t="shared" si="50"/>
        <v>94.51175406871609</v>
      </c>
    </row>
    <row r="432" spans="1:10" ht="25.5">
      <c r="A432" s="46" t="s">
        <v>106</v>
      </c>
      <c r="B432" s="12" t="s">
        <v>561</v>
      </c>
      <c r="C432" s="13" t="s">
        <v>66</v>
      </c>
      <c r="D432" s="13" t="s">
        <v>89</v>
      </c>
      <c r="E432" s="13" t="s">
        <v>538</v>
      </c>
      <c r="F432" s="13" t="s">
        <v>107</v>
      </c>
      <c r="G432" s="14">
        <f t="shared" si="54"/>
        <v>1106</v>
      </c>
      <c r="H432" s="87">
        <f t="shared" si="54"/>
        <v>1045.3</v>
      </c>
      <c r="I432" s="14">
        <f t="shared" si="49"/>
        <v>60.700000000000045</v>
      </c>
      <c r="J432" s="77">
        <f t="shared" si="50"/>
        <v>94.51175406871609</v>
      </c>
    </row>
    <row r="433" spans="1:10" ht="25.5">
      <c r="A433" s="46" t="s">
        <v>108</v>
      </c>
      <c r="B433" s="12" t="s">
        <v>561</v>
      </c>
      <c r="C433" s="13" t="s">
        <v>66</v>
      </c>
      <c r="D433" s="13" t="s">
        <v>89</v>
      </c>
      <c r="E433" s="13" t="s">
        <v>538</v>
      </c>
      <c r="F433" s="13" t="s">
        <v>109</v>
      </c>
      <c r="G433" s="14">
        <f>489.8+500+34.2+82</f>
        <v>1106</v>
      </c>
      <c r="H433" s="87">
        <v>1045.3</v>
      </c>
      <c r="I433" s="14">
        <f t="shared" si="49"/>
        <v>60.700000000000045</v>
      </c>
      <c r="J433" s="77">
        <f t="shared" si="50"/>
        <v>94.51175406871609</v>
      </c>
    </row>
    <row r="434" spans="1:10" ht="25.5">
      <c r="A434" s="46" t="s">
        <v>537</v>
      </c>
      <c r="B434" s="12" t="s">
        <v>561</v>
      </c>
      <c r="C434" s="13" t="s">
        <v>66</v>
      </c>
      <c r="D434" s="13" t="s">
        <v>89</v>
      </c>
      <c r="E434" s="13" t="s">
        <v>539</v>
      </c>
      <c r="F434" s="13"/>
      <c r="G434" s="14">
        <f>G435+G438</f>
        <v>340</v>
      </c>
      <c r="H434" s="87">
        <f>H435+H438</f>
        <v>140</v>
      </c>
      <c r="I434" s="14">
        <f t="shared" si="49"/>
        <v>200</v>
      </c>
      <c r="J434" s="77">
        <f t="shared" si="50"/>
        <v>41.17647058823529</v>
      </c>
    </row>
    <row r="435" spans="1:10" ht="25.5">
      <c r="A435" s="46" t="s">
        <v>770</v>
      </c>
      <c r="B435" s="12" t="s">
        <v>561</v>
      </c>
      <c r="C435" s="13" t="s">
        <v>66</v>
      </c>
      <c r="D435" s="13" t="s">
        <v>89</v>
      </c>
      <c r="E435" s="13" t="s">
        <v>539</v>
      </c>
      <c r="F435" s="13" t="s">
        <v>113</v>
      </c>
      <c r="G435" s="14">
        <f>G436</f>
        <v>320</v>
      </c>
      <c r="H435" s="87">
        <f>H436</f>
        <v>120</v>
      </c>
      <c r="I435" s="14">
        <f t="shared" si="49"/>
        <v>200</v>
      </c>
      <c r="J435" s="77">
        <f t="shared" si="50"/>
        <v>37.5</v>
      </c>
    </row>
    <row r="436" spans="1:10" ht="25.5">
      <c r="A436" s="46" t="s">
        <v>106</v>
      </c>
      <c r="B436" s="12" t="s">
        <v>561</v>
      </c>
      <c r="C436" s="13" t="s">
        <v>66</v>
      </c>
      <c r="D436" s="13" t="s">
        <v>89</v>
      </c>
      <c r="E436" s="13" t="s">
        <v>539</v>
      </c>
      <c r="F436" s="13" t="s">
        <v>107</v>
      </c>
      <c r="G436" s="14">
        <f>G437</f>
        <v>320</v>
      </c>
      <c r="H436" s="87">
        <f>H437</f>
        <v>120</v>
      </c>
      <c r="I436" s="14">
        <f t="shared" si="49"/>
        <v>200</v>
      </c>
      <c r="J436" s="77">
        <f t="shared" si="50"/>
        <v>37.5</v>
      </c>
    </row>
    <row r="437" spans="1:10" ht="25.5">
      <c r="A437" s="46" t="s">
        <v>108</v>
      </c>
      <c r="B437" s="12" t="s">
        <v>561</v>
      </c>
      <c r="C437" s="13" t="s">
        <v>66</v>
      </c>
      <c r="D437" s="13" t="s">
        <v>89</v>
      </c>
      <c r="E437" s="13" t="s">
        <v>539</v>
      </c>
      <c r="F437" s="13" t="s">
        <v>109</v>
      </c>
      <c r="G437" s="14">
        <f>2020-10-10-1680</f>
        <v>320</v>
      </c>
      <c r="H437" s="87">
        <v>120</v>
      </c>
      <c r="I437" s="14">
        <f t="shared" si="49"/>
        <v>200</v>
      </c>
      <c r="J437" s="77">
        <f t="shared" si="50"/>
        <v>37.5</v>
      </c>
    </row>
    <row r="438" spans="1:10" ht="12.75">
      <c r="A438" s="9" t="s">
        <v>137</v>
      </c>
      <c r="B438" s="12" t="s">
        <v>561</v>
      </c>
      <c r="C438" s="13" t="s">
        <v>66</v>
      </c>
      <c r="D438" s="13" t="s">
        <v>89</v>
      </c>
      <c r="E438" s="13" t="s">
        <v>539</v>
      </c>
      <c r="F438" s="13" t="s">
        <v>138</v>
      </c>
      <c r="G438" s="14">
        <f>G439</f>
        <v>20</v>
      </c>
      <c r="H438" s="87">
        <f>H439</f>
        <v>20</v>
      </c>
      <c r="I438" s="14">
        <f t="shared" si="49"/>
        <v>0</v>
      </c>
      <c r="J438" s="77">
        <f t="shared" si="50"/>
        <v>100</v>
      </c>
    </row>
    <row r="439" spans="1:10" ht="12.75">
      <c r="A439" s="9" t="s">
        <v>140</v>
      </c>
      <c r="B439" s="12" t="s">
        <v>561</v>
      </c>
      <c r="C439" s="13" t="s">
        <v>66</v>
      </c>
      <c r="D439" s="13" t="s">
        <v>89</v>
      </c>
      <c r="E439" s="13" t="s">
        <v>539</v>
      </c>
      <c r="F439" s="13" t="s">
        <v>141</v>
      </c>
      <c r="G439" s="14">
        <f>G440</f>
        <v>20</v>
      </c>
      <c r="H439" s="87">
        <f>H440</f>
        <v>20</v>
      </c>
      <c r="I439" s="14">
        <f t="shared" si="49"/>
        <v>0</v>
      </c>
      <c r="J439" s="77">
        <f t="shared" si="50"/>
        <v>100</v>
      </c>
    </row>
    <row r="440" spans="1:10" ht="12.75">
      <c r="A440" s="9" t="s">
        <v>180</v>
      </c>
      <c r="B440" s="12" t="s">
        <v>561</v>
      </c>
      <c r="C440" s="13" t="s">
        <v>66</v>
      </c>
      <c r="D440" s="13" t="s">
        <v>89</v>
      </c>
      <c r="E440" s="13" t="s">
        <v>539</v>
      </c>
      <c r="F440" s="13" t="s">
        <v>181</v>
      </c>
      <c r="G440" s="14">
        <f>10+10</f>
        <v>20</v>
      </c>
      <c r="H440" s="87">
        <v>20</v>
      </c>
      <c r="I440" s="14">
        <f t="shared" si="49"/>
        <v>0</v>
      </c>
      <c r="J440" s="77">
        <f t="shared" si="50"/>
        <v>100</v>
      </c>
    </row>
    <row r="441" spans="1:10" ht="12.75">
      <c r="A441" s="60" t="s">
        <v>5</v>
      </c>
      <c r="B441" s="37" t="s">
        <v>561</v>
      </c>
      <c r="C441" s="29" t="s">
        <v>68</v>
      </c>
      <c r="D441" s="29" t="s">
        <v>36</v>
      </c>
      <c r="E441" s="29"/>
      <c r="F441" s="29"/>
      <c r="G441" s="30">
        <f>G442+G448+G458+G453</f>
        <v>17604.5</v>
      </c>
      <c r="H441" s="105">
        <f>H442+H448+H458+H453</f>
        <v>17604.5</v>
      </c>
      <c r="I441" s="30">
        <f t="shared" si="49"/>
        <v>0</v>
      </c>
      <c r="J441" s="82">
        <f t="shared" si="50"/>
        <v>100</v>
      </c>
    </row>
    <row r="442" spans="1:10" ht="12.75">
      <c r="A442" s="60" t="s">
        <v>80</v>
      </c>
      <c r="B442" s="37" t="s">
        <v>561</v>
      </c>
      <c r="C442" s="29" t="s">
        <v>68</v>
      </c>
      <c r="D442" s="29" t="s">
        <v>72</v>
      </c>
      <c r="E442" s="13"/>
      <c r="F442" s="13"/>
      <c r="G442" s="30">
        <f aca="true" t="shared" si="55" ref="G442:H446">G443</f>
        <v>500</v>
      </c>
      <c r="H442" s="105">
        <f t="shared" si="55"/>
        <v>500</v>
      </c>
      <c r="I442" s="30">
        <f t="shared" si="49"/>
        <v>0</v>
      </c>
      <c r="J442" s="82">
        <f t="shared" si="50"/>
        <v>100</v>
      </c>
    </row>
    <row r="443" spans="1:10" ht="25.5">
      <c r="A443" s="46" t="s">
        <v>358</v>
      </c>
      <c r="B443" s="12" t="s">
        <v>561</v>
      </c>
      <c r="C443" s="13" t="s">
        <v>68</v>
      </c>
      <c r="D443" s="13" t="s">
        <v>72</v>
      </c>
      <c r="E443" s="45" t="s">
        <v>195</v>
      </c>
      <c r="F443" s="13"/>
      <c r="G443" s="14">
        <f t="shared" si="55"/>
        <v>500</v>
      </c>
      <c r="H443" s="87">
        <f t="shared" si="55"/>
        <v>500</v>
      </c>
      <c r="I443" s="14">
        <f t="shared" si="49"/>
        <v>0</v>
      </c>
      <c r="J443" s="77">
        <f t="shared" si="50"/>
        <v>100</v>
      </c>
    </row>
    <row r="444" spans="1:10" ht="12.75">
      <c r="A444" s="46" t="s">
        <v>286</v>
      </c>
      <c r="B444" s="12" t="s">
        <v>561</v>
      </c>
      <c r="C444" s="13" t="s">
        <v>68</v>
      </c>
      <c r="D444" s="13" t="s">
        <v>72</v>
      </c>
      <c r="E444" s="45" t="s">
        <v>445</v>
      </c>
      <c r="F444" s="13"/>
      <c r="G444" s="14">
        <f t="shared" si="55"/>
        <v>500</v>
      </c>
      <c r="H444" s="87">
        <f t="shared" si="55"/>
        <v>500</v>
      </c>
      <c r="I444" s="14">
        <f t="shared" si="49"/>
        <v>0</v>
      </c>
      <c r="J444" s="77">
        <f t="shared" si="50"/>
        <v>100</v>
      </c>
    </row>
    <row r="445" spans="1:10" ht="25.5">
      <c r="A445" s="46" t="s">
        <v>194</v>
      </c>
      <c r="B445" s="12" t="s">
        <v>561</v>
      </c>
      <c r="C445" s="13" t="s">
        <v>68</v>
      </c>
      <c r="D445" s="13" t="s">
        <v>72</v>
      </c>
      <c r="E445" s="45" t="s">
        <v>446</v>
      </c>
      <c r="F445" s="13"/>
      <c r="G445" s="14">
        <f t="shared" si="55"/>
        <v>500</v>
      </c>
      <c r="H445" s="87">
        <f t="shared" si="55"/>
        <v>500</v>
      </c>
      <c r="I445" s="14">
        <f t="shared" si="49"/>
        <v>0</v>
      </c>
      <c r="J445" s="77">
        <f t="shared" si="50"/>
        <v>100</v>
      </c>
    </row>
    <row r="446" spans="1:10" ht="12.75">
      <c r="A446" s="46" t="s">
        <v>137</v>
      </c>
      <c r="B446" s="12" t="s">
        <v>561</v>
      </c>
      <c r="C446" s="13" t="s">
        <v>68</v>
      </c>
      <c r="D446" s="13" t="s">
        <v>72</v>
      </c>
      <c r="E446" s="45" t="s">
        <v>446</v>
      </c>
      <c r="F446" s="13" t="s">
        <v>138</v>
      </c>
      <c r="G446" s="14">
        <f t="shared" si="55"/>
        <v>500</v>
      </c>
      <c r="H446" s="87">
        <f t="shared" si="55"/>
        <v>500</v>
      </c>
      <c r="I446" s="14">
        <f t="shared" si="49"/>
        <v>0</v>
      </c>
      <c r="J446" s="77">
        <f t="shared" si="50"/>
        <v>100</v>
      </c>
    </row>
    <row r="447" spans="1:10" ht="29.25" customHeight="1">
      <c r="A447" s="46" t="s">
        <v>182</v>
      </c>
      <c r="B447" s="12" t="s">
        <v>561</v>
      </c>
      <c r="C447" s="13" t="s">
        <v>68</v>
      </c>
      <c r="D447" s="13" t="s">
        <v>72</v>
      </c>
      <c r="E447" s="45" t="s">
        <v>446</v>
      </c>
      <c r="F447" s="13" t="s">
        <v>139</v>
      </c>
      <c r="G447" s="14">
        <v>500</v>
      </c>
      <c r="H447" s="87">
        <v>500</v>
      </c>
      <c r="I447" s="14">
        <f t="shared" si="49"/>
        <v>0</v>
      </c>
      <c r="J447" s="77">
        <f t="shared" si="50"/>
        <v>100</v>
      </c>
    </row>
    <row r="448" spans="1:10" ht="12.75">
      <c r="A448" s="60" t="s">
        <v>6</v>
      </c>
      <c r="B448" s="37" t="s">
        <v>561</v>
      </c>
      <c r="C448" s="29" t="s">
        <v>68</v>
      </c>
      <c r="D448" s="29" t="s">
        <v>73</v>
      </c>
      <c r="E448" s="29"/>
      <c r="F448" s="29"/>
      <c r="G448" s="30">
        <f aca="true" t="shared" si="56" ref="G448:H451">G449</f>
        <v>6370</v>
      </c>
      <c r="H448" s="105">
        <f t="shared" si="56"/>
        <v>6370</v>
      </c>
      <c r="I448" s="30">
        <f t="shared" si="49"/>
        <v>0</v>
      </c>
      <c r="J448" s="82">
        <f t="shared" si="50"/>
        <v>100</v>
      </c>
    </row>
    <row r="449" spans="1:10" ht="12.75">
      <c r="A449" s="46" t="s">
        <v>37</v>
      </c>
      <c r="B449" s="12" t="s">
        <v>561</v>
      </c>
      <c r="C449" s="13" t="s">
        <v>68</v>
      </c>
      <c r="D449" s="13" t="s">
        <v>73</v>
      </c>
      <c r="E449" s="13" t="s">
        <v>270</v>
      </c>
      <c r="F449" s="13"/>
      <c r="G449" s="14">
        <f t="shared" si="56"/>
        <v>6370</v>
      </c>
      <c r="H449" s="87">
        <f t="shared" si="56"/>
        <v>6370</v>
      </c>
      <c r="I449" s="14">
        <f t="shared" si="49"/>
        <v>0</v>
      </c>
      <c r="J449" s="77">
        <f t="shared" si="50"/>
        <v>100</v>
      </c>
    </row>
    <row r="450" spans="1:10" ht="12.75">
      <c r="A450" s="46" t="s">
        <v>551</v>
      </c>
      <c r="B450" s="12" t="s">
        <v>561</v>
      </c>
      <c r="C450" s="13" t="s">
        <v>68</v>
      </c>
      <c r="D450" s="13" t="s">
        <v>73</v>
      </c>
      <c r="E450" s="13" t="s">
        <v>550</v>
      </c>
      <c r="F450" s="13"/>
      <c r="G450" s="14">
        <f t="shared" si="56"/>
        <v>6370</v>
      </c>
      <c r="H450" s="87">
        <f t="shared" si="56"/>
        <v>6370</v>
      </c>
      <c r="I450" s="14">
        <f t="shared" si="49"/>
        <v>0</v>
      </c>
      <c r="J450" s="77">
        <f t="shared" si="50"/>
        <v>100</v>
      </c>
    </row>
    <row r="451" spans="1:10" ht="12.75">
      <c r="A451" s="46" t="s">
        <v>137</v>
      </c>
      <c r="B451" s="12" t="s">
        <v>561</v>
      </c>
      <c r="C451" s="13" t="s">
        <v>68</v>
      </c>
      <c r="D451" s="13" t="s">
        <v>73</v>
      </c>
      <c r="E451" s="13" t="s">
        <v>550</v>
      </c>
      <c r="F451" s="13" t="s">
        <v>138</v>
      </c>
      <c r="G451" s="14">
        <f t="shared" si="56"/>
        <v>6370</v>
      </c>
      <c r="H451" s="87">
        <f t="shared" si="56"/>
        <v>6370</v>
      </c>
      <c r="I451" s="14">
        <f t="shared" si="49"/>
        <v>0</v>
      </c>
      <c r="J451" s="77">
        <f t="shared" si="50"/>
        <v>100</v>
      </c>
    </row>
    <row r="452" spans="1:10" ht="25.5">
      <c r="A452" s="46" t="s">
        <v>182</v>
      </c>
      <c r="B452" s="12" t="s">
        <v>561</v>
      </c>
      <c r="C452" s="13" t="s">
        <v>68</v>
      </c>
      <c r="D452" s="13" t="s">
        <v>73</v>
      </c>
      <c r="E452" s="13" t="s">
        <v>550</v>
      </c>
      <c r="F452" s="13" t="s">
        <v>139</v>
      </c>
      <c r="G452" s="14">
        <f>5770-3070+660+3010</f>
        <v>6370</v>
      </c>
      <c r="H452" s="87">
        <v>6370</v>
      </c>
      <c r="I452" s="14">
        <f t="shared" si="49"/>
        <v>0</v>
      </c>
      <c r="J452" s="77">
        <f t="shared" si="50"/>
        <v>100</v>
      </c>
    </row>
    <row r="453" spans="1:10" ht="12.75">
      <c r="A453" s="60" t="s">
        <v>84</v>
      </c>
      <c r="B453" s="37" t="s">
        <v>561</v>
      </c>
      <c r="C453" s="29" t="s">
        <v>68</v>
      </c>
      <c r="D453" s="29" t="s">
        <v>75</v>
      </c>
      <c r="E453" s="29"/>
      <c r="F453" s="29"/>
      <c r="G453" s="30">
        <f aca="true" t="shared" si="57" ref="G453:H456">G454</f>
        <v>9934.5</v>
      </c>
      <c r="H453" s="105">
        <f t="shared" si="57"/>
        <v>9934.5</v>
      </c>
      <c r="I453" s="30">
        <f t="shared" si="49"/>
        <v>0</v>
      </c>
      <c r="J453" s="82">
        <f t="shared" si="50"/>
        <v>100</v>
      </c>
    </row>
    <row r="454" spans="1:10" ht="18.75" customHeight="1">
      <c r="A454" s="46" t="s">
        <v>248</v>
      </c>
      <c r="B454" s="12" t="s">
        <v>561</v>
      </c>
      <c r="C454" s="12" t="s">
        <v>68</v>
      </c>
      <c r="D454" s="12" t="s">
        <v>75</v>
      </c>
      <c r="E454" s="13" t="s">
        <v>255</v>
      </c>
      <c r="F454" s="29"/>
      <c r="G454" s="14">
        <f t="shared" si="57"/>
        <v>9934.5</v>
      </c>
      <c r="H454" s="87">
        <f t="shared" si="57"/>
        <v>9934.5</v>
      </c>
      <c r="I454" s="14">
        <f t="shared" si="49"/>
        <v>0</v>
      </c>
      <c r="J454" s="77">
        <f t="shared" si="50"/>
        <v>100</v>
      </c>
    </row>
    <row r="455" spans="1:10" ht="15" customHeight="1">
      <c r="A455" s="46" t="s">
        <v>542</v>
      </c>
      <c r="B455" s="12" t="s">
        <v>561</v>
      </c>
      <c r="C455" s="12" t="s">
        <v>68</v>
      </c>
      <c r="D455" s="12" t="s">
        <v>75</v>
      </c>
      <c r="E455" s="13" t="s">
        <v>543</v>
      </c>
      <c r="F455" s="29"/>
      <c r="G455" s="14">
        <f t="shared" si="57"/>
        <v>9934.5</v>
      </c>
      <c r="H455" s="87">
        <f t="shared" si="57"/>
        <v>9934.5</v>
      </c>
      <c r="I455" s="14">
        <f t="shared" si="49"/>
        <v>0</v>
      </c>
      <c r="J455" s="77">
        <f t="shared" si="50"/>
        <v>100</v>
      </c>
    </row>
    <row r="456" spans="1:10" ht="15.75" customHeight="1">
      <c r="A456" s="46" t="s">
        <v>137</v>
      </c>
      <c r="B456" s="12" t="s">
        <v>561</v>
      </c>
      <c r="C456" s="12" t="s">
        <v>68</v>
      </c>
      <c r="D456" s="12" t="s">
        <v>75</v>
      </c>
      <c r="E456" s="13" t="s">
        <v>543</v>
      </c>
      <c r="F456" s="13" t="s">
        <v>138</v>
      </c>
      <c r="G456" s="14">
        <f t="shared" si="57"/>
        <v>9934.5</v>
      </c>
      <c r="H456" s="87">
        <f t="shared" si="57"/>
        <v>9934.5</v>
      </c>
      <c r="I456" s="14">
        <f t="shared" si="49"/>
        <v>0</v>
      </c>
      <c r="J456" s="77">
        <f t="shared" si="50"/>
        <v>100</v>
      </c>
    </row>
    <row r="457" spans="1:10" ht="27.75" customHeight="1">
      <c r="A457" s="46" t="s">
        <v>182</v>
      </c>
      <c r="B457" s="12" t="s">
        <v>561</v>
      </c>
      <c r="C457" s="12" t="s">
        <v>68</v>
      </c>
      <c r="D457" s="12" t="s">
        <v>75</v>
      </c>
      <c r="E457" s="13" t="s">
        <v>543</v>
      </c>
      <c r="F457" s="13" t="s">
        <v>139</v>
      </c>
      <c r="G457" s="14">
        <v>9934.5</v>
      </c>
      <c r="H457" s="87">
        <v>9934.5</v>
      </c>
      <c r="I457" s="14">
        <f t="shared" si="49"/>
        <v>0</v>
      </c>
      <c r="J457" s="77">
        <f t="shared" si="50"/>
        <v>100</v>
      </c>
    </row>
    <row r="458" spans="1:10" ht="12.75">
      <c r="A458" s="60" t="s">
        <v>7</v>
      </c>
      <c r="B458" s="37" t="s">
        <v>561</v>
      </c>
      <c r="C458" s="29" t="s">
        <v>68</v>
      </c>
      <c r="D458" s="29" t="s">
        <v>78</v>
      </c>
      <c r="E458" s="29"/>
      <c r="F458" s="29"/>
      <c r="G458" s="30">
        <f aca="true" t="shared" si="58" ref="G458:H462">G459</f>
        <v>800</v>
      </c>
      <c r="H458" s="105">
        <f t="shared" si="58"/>
        <v>800</v>
      </c>
      <c r="I458" s="30">
        <f aca="true" t="shared" si="59" ref="I458:I521">G458-H458</f>
        <v>0</v>
      </c>
      <c r="J458" s="82">
        <f aca="true" t="shared" si="60" ref="J458:J521">H458/G458*100</f>
        <v>100</v>
      </c>
    </row>
    <row r="459" spans="1:10" ht="25.5">
      <c r="A459" s="46" t="s">
        <v>500</v>
      </c>
      <c r="B459" s="12" t="s">
        <v>561</v>
      </c>
      <c r="C459" s="13" t="s">
        <v>68</v>
      </c>
      <c r="D459" s="13" t="s">
        <v>78</v>
      </c>
      <c r="E459" s="45" t="s">
        <v>673</v>
      </c>
      <c r="F459" s="13"/>
      <c r="G459" s="14">
        <f t="shared" si="58"/>
        <v>800</v>
      </c>
      <c r="H459" s="87">
        <f t="shared" si="58"/>
        <v>800</v>
      </c>
      <c r="I459" s="14">
        <f t="shared" si="59"/>
        <v>0</v>
      </c>
      <c r="J459" s="77">
        <f t="shared" si="60"/>
        <v>100</v>
      </c>
    </row>
    <row r="460" spans="1:10" ht="30" customHeight="1">
      <c r="A460" s="46" t="s">
        <v>353</v>
      </c>
      <c r="B460" s="12" t="s">
        <v>561</v>
      </c>
      <c r="C460" s="13" t="s">
        <v>68</v>
      </c>
      <c r="D460" s="13" t="s">
        <v>78</v>
      </c>
      <c r="E460" s="45" t="s">
        <v>674</v>
      </c>
      <c r="F460" s="13"/>
      <c r="G460" s="14">
        <f t="shared" si="58"/>
        <v>800</v>
      </c>
      <c r="H460" s="87">
        <f t="shared" si="58"/>
        <v>800</v>
      </c>
      <c r="I460" s="14">
        <f t="shared" si="59"/>
        <v>0</v>
      </c>
      <c r="J460" s="77">
        <f t="shared" si="60"/>
        <v>100</v>
      </c>
    </row>
    <row r="461" spans="1:10" ht="12.75">
      <c r="A461" s="46" t="s">
        <v>196</v>
      </c>
      <c r="B461" s="12" t="s">
        <v>561</v>
      </c>
      <c r="C461" s="13" t="s">
        <v>68</v>
      </c>
      <c r="D461" s="13" t="s">
        <v>78</v>
      </c>
      <c r="E461" s="45" t="s">
        <v>675</v>
      </c>
      <c r="F461" s="13"/>
      <c r="G461" s="14">
        <f t="shared" si="58"/>
        <v>800</v>
      </c>
      <c r="H461" s="87">
        <f t="shared" si="58"/>
        <v>800</v>
      </c>
      <c r="I461" s="14">
        <f t="shared" si="59"/>
        <v>0</v>
      </c>
      <c r="J461" s="77">
        <f t="shared" si="60"/>
        <v>100</v>
      </c>
    </row>
    <row r="462" spans="1:10" ht="12.75">
      <c r="A462" s="46" t="s">
        <v>137</v>
      </c>
      <c r="B462" s="12" t="s">
        <v>561</v>
      </c>
      <c r="C462" s="13" t="s">
        <v>68</v>
      </c>
      <c r="D462" s="13" t="s">
        <v>78</v>
      </c>
      <c r="E462" s="45" t="s">
        <v>675</v>
      </c>
      <c r="F462" s="13" t="s">
        <v>138</v>
      </c>
      <c r="G462" s="14">
        <f t="shared" si="58"/>
        <v>800</v>
      </c>
      <c r="H462" s="87">
        <f t="shared" si="58"/>
        <v>800</v>
      </c>
      <c r="I462" s="14">
        <f t="shared" si="59"/>
        <v>0</v>
      </c>
      <c r="J462" s="77">
        <f t="shared" si="60"/>
        <v>100</v>
      </c>
    </row>
    <row r="463" spans="1:10" ht="25.5">
      <c r="A463" s="46" t="s">
        <v>182</v>
      </c>
      <c r="B463" s="12" t="s">
        <v>561</v>
      </c>
      <c r="C463" s="13" t="s">
        <v>68</v>
      </c>
      <c r="D463" s="13" t="s">
        <v>78</v>
      </c>
      <c r="E463" s="45" t="s">
        <v>675</v>
      </c>
      <c r="F463" s="13" t="s">
        <v>139</v>
      </c>
      <c r="G463" s="14">
        <f>400+400</f>
        <v>800</v>
      </c>
      <c r="H463" s="87">
        <v>800</v>
      </c>
      <c r="I463" s="14">
        <f t="shared" si="59"/>
        <v>0</v>
      </c>
      <c r="J463" s="77">
        <f t="shared" si="60"/>
        <v>100</v>
      </c>
    </row>
    <row r="464" spans="1:10" ht="15.75" customHeight="1">
      <c r="A464" s="60" t="s">
        <v>162</v>
      </c>
      <c r="B464" s="37" t="s">
        <v>561</v>
      </c>
      <c r="C464" s="37" t="s">
        <v>72</v>
      </c>
      <c r="D464" s="37" t="s">
        <v>36</v>
      </c>
      <c r="E464" s="13"/>
      <c r="F464" s="13"/>
      <c r="G464" s="30">
        <f>G465</f>
        <v>600</v>
      </c>
      <c r="H464" s="105">
        <f>H465</f>
        <v>600</v>
      </c>
      <c r="I464" s="30">
        <f t="shared" si="59"/>
        <v>0</v>
      </c>
      <c r="J464" s="82">
        <f t="shared" si="60"/>
        <v>100</v>
      </c>
    </row>
    <row r="465" spans="1:10" ht="13.5" customHeight="1">
      <c r="A465" s="46" t="s">
        <v>161</v>
      </c>
      <c r="B465" s="12" t="s">
        <v>561</v>
      </c>
      <c r="C465" s="12" t="s">
        <v>72</v>
      </c>
      <c r="D465" s="12" t="s">
        <v>66</v>
      </c>
      <c r="E465" s="13"/>
      <c r="F465" s="13"/>
      <c r="G465" s="14">
        <f>G467</f>
        <v>600</v>
      </c>
      <c r="H465" s="87">
        <f>H467</f>
        <v>600</v>
      </c>
      <c r="I465" s="14">
        <f t="shared" si="59"/>
        <v>0</v>
      </c>
      <c r="J465" s="77">
        <f t="shared" si="60"/>
        <v>100</v>
      </c>
    </row>
    <row r="466" spans="1:10" ht="13.5" customHeight="1">
      <c r="A466" s="46" t="s">
        <v>242</v>
      </c>
      <c r="B466" s="12" t="s">
        <v>561</v>
      </c>
      <c r="C466" s="12" t="s">
        <v>72</v>
      </c>
      <c r="D466" s="12" t="s">
        <v>66</v>
      </c>
      <c r="E466" s="13" t="s">
        <v>254</v>
      </c>
      <c r="F466" s="13"/>
      <c r="G466" s="14">
        <f aca="true" t="shared" si="61" ref="G466:H470">G467</f>
        <v>600</v>
      </c>
      <c r="H466" s="87">
        <f t="shared" si="61"/>
        <v>600</v>
      </c>
      <c r="I466" s="14">
        <f t="shared" si="59"/>
        <v>0</v>
      </c>
      <c r="J466" s="77">
        <f t="shared" si="60"/>
        <v>100</v>
      </c>
    </row>
    <row r="467" spans="1:10" ht="13.5" customHeight="1">
      <c r="A467" s="46" t="s">
        <v>373</v>
      </c>
      <c r="B467" s="12" t="s">
        <v>561</v>
      </c>
      <c r="C467" s="12" t="s">
        <v>72</v>
      </c>
      <c r="D467" s="12" t="s">
        <v>66</v>
      </c>
      <c r="E467" s="13" t="s">
        <v>508</v>
      </c>
      <c r="F467" s="13"/>
      <c r="G467" s="14">
        <f t="shared" si="61"/>
        <v>600</v>
      </c>
      <c r="H467" s="87">
        <f t="shared" si="61"/>
        <v>600</v>
      </c>
      <c r="I467" s="14">
        <f t="shared" si="59"/>
        <v>0</v>
      </c>
      <c r="J467" s="77">
        <f t="shared" si="60"/>
        <v>100</v>
      </c>
    </row>
    <row r="468" spans="1:10" ht="15" customHeight="1">
      <c r="A468" s="46" t="s">
        <v>374</v>
      </c>
      <c r="B468" s="12" t="s">
        <v>561</v>
      </c>
      <c r="C468" s="12" t="s">
        <v>72</v>
      </c>
      <c r="D468" s="12" t="s">
        <v>66</v>
      </c>
      <c r="E468" s="13" t="s">
        <v>509</v>
      </c>
      <c r="F468" s="13"/>
      <c r="G468" s="14">
        <f t="shared" si="61"/>
        <v>600</v>
      </c>
      <c r="H468" s="87">
        <f t="shared" si="61"/>
        <v>600</v>
      </c>
      <c r="I468" s="14">
        <f t="shared" si="59"/>
        <v>0</v>
      </c>
      <c r="J468" s="77">
        <f t="shared" si="60"/>
        <v>100</v>
      </c>
    </row>
    <row r="469" spans="1:10" ht="11.25" customHeight="1">
      <c r="A469" s="46" t="s">
        <v>770</v>
      </c>
      <c r="B469" s="12" t="s">
        <v>561</v>
      </c>
      <c r="C469" s="12" t="s">
        <v>72</v>
      </c>
      <c r="D469" s="12" t="s">
        <v>66</v>
      </c>
      <c r="E469" s="13" t="s">
        <v>509</v>
      </c>
      <c r="F469" s="13" t="s">
        <v>113</v>
      </c>
      <c r="G469" s="14">
        <f t="shared" si="61"/>
        <v>600</v>
      </c>
      <c r="H469" s="87">
        <f t="shared" si="61"/>
        <v>600</v>
      </c>
      <c r="I469" s="14">
        <f t="shared" si="59"/>
        <v>0</v>
      </c>
      <c r="J469" s="77">
        <f t="shared" si="60"/>
        <v>100</v>
      </c>
    </row>
    <row r="470" spans="1:10" ht="24" customHeight="1">
      <c r="A470" s="46" t="s">
        <v>106</v>
      </c>
      <c r="B470" s="12" t="s">
        <v>561</v>
      </c>
      <c r="C470" s="12" t="s">
        <v>72</v>
      </c>
      <c r="D470" s="12" t="s">
        <v>66</v>
      </c>
      <c r="E470" s="13" t="s">
        <v>509</v>
      </c>
      <c r="F470" s="13" t="s">
        <v>107</v>
      </c>
      <c r="G470" s="14">
        <f t="shared" si="61"/>
        <v>600</v>
      </c>
      <c r="H470" s="87">
        <f t="shared" si="61"/>
        <v>600</v>
      </c>
      <c r="I470" s="14">
        <f t="shared" si="59"/>
        <v>0</v>
      </c>
      <c r="J470" s="77">
        <f t="shared" si="60"/>
        <v>100</v>
      </c>
    </row>
    <row r="471" spans="1:10" ht="24" customHeight="1">
      <c r="A471" s="46" t="s">
        <v>108</v>
      </c>
      <c r="B471" s="12" t="s">
        <v>561</v>
      </c>
      <c r="C471" s="12" t="s">
        <v>72</v>
      </c>
      <c r="D471" s="12" t="s">
        <v>66</v>
      </c>
      <c r="E471" s="13" t="s">
        <v>509</v>
      </c>
      <c r="F471" s="13" t="s">
        <v>109</v>
      </c>
      <c r="G471" s="14">
        <v>600</v>
      </c>
      <c r="H471" s="87">
        <v>600</v>
      </c>
      <c r="I471" s="14">
        <f t="shared" si="59"/>
        <v>0</v>
      </c>
      <c r="J471" s="77">
        <f t="shared" si="60"/>
        <v>100</v>
      </c>
    </row>
    <row r="472" spans="1:10" ht="12.75">
      <c r="A472" s="60" t="s">
        <v>87</v>
      </c>
      <c r="B472" s="37" t="s">
        <v>561</v>
      </c>
      <c r="C472" s="29" t="s">
        <v>78</v>
      </c>
      <c r="D472" s="29" t="s">
        <v>36</v>
      </c>
      <c r="E472" s="13"/>
      <c r="F472" s="13"/>
      <c r="G472" s="30">
        <f>G473</f>
        <v>5617</v>
      </c>
      <c r="H472" s="105">
        <f>H473</f>
        <v>5617</v>
      </c>
      <c r="I472" s="30">
        <f t="shared" si="59"/>
        <v>0</v>
      </c>
      <c r="J472" s="82">
        <f t="shared" si="60"/>
        <v>100</v>
      </c>
    </row>
    <row r="473" spans="1:10" ht="12.75">
      <c r="A473" s="60" t="s">
        <v>13</v>
      </c>
      <c r="B473" s="37" t="s">
        <v>561</v>
      </c>
      <c r="C473" s="29" t="s">
        <v>78</v>
      </c>
      <c r="D473" s="29" t="s">
        <v>67</v>
      </c>
      <c r="E473" s="29"/>
      <c r="F473" s="13"/>
      <c r="G473" s="30">
        <f aca="true" t="shared" si="62" ref="G473:H478">G474</f>
        <v>5617</v>
      </c>
      <c r="H473" s="105">
        <f t="shared" si="62"/>
        <v>5617</v>
      </c>
      <c r="I473" s="30">
        <f t="shared" si="59"/>
        <v>0</v>
      </c>
      <c r="J473" s="82">
        <f t="shared" si="60"/>
        <v>100</v>
      </c>
    </row>
    <row r="474" spans="1:10" ht="15.75" customHeight="1">
      <c r="A474" s="46" t="s">
        <v>243</v>
      </c>
      <c r="B474" s="12" t="s">
        <v>561</v>
      </c>
      <c r="C474" s="13" t="s">
        <v>78</v>
      </c>
      <c r="D474" s="13" t="s">
        <v>67</v>
      </c>
      <c r="E474" s="13" t="s">
        <v>261</v>
      </c>
      <c r="F474" s="13"/>
      <c r="G474" s="14">
        <f t="shared" si="62"/>
        <v>5617</v>
      </c>
      <c r="H474" s="87">
        <f t="shared" si="62"/>
        <v>5617</v>
      </c>
      <c r="I474" s="14">
        <f t="shared" si="59"/>
        <v>0</v>
      </c>
      <c r="J474" s="77">
        <f t="shared" si="60"/>
        <v>100</v>
      </c>
    </row>
    <row r="475" spans="1:10" ht="25.5">
      <c r="A475" s="46" t="s">
        <v>289</v>
      </c>
      <c r="B475" s="12" t="s">
        <v>561</v>
      </c>
      <c r="C475" s="13" t="s">
        <v>78</v>
      </c>
      <c r="D475" s="13" t="s">
        <v>67</v>
      </c>
      <c r="E475" s="13" t="s">
        <v>510</v>
      </c>
      <c r="F475" s="13"/>
      <c r="G475" s="14">
        <f t="shared" si="62"/>
        <v>5617</v>
      </c>
      <c r="H475" s="87">
        <f t="shared" si="62"/>
        <v>5617</v>
      </c>
      <c r="I475" s="14">
        <f t="shared" si="59"/>
        <v>0</v>
      </c>
      <c r="J475" s="77">
        <f t="shared" si="60"/>
        <v>100</v>
      </c>
    </row>
    <row r="476" spans="1:10" ht="12.75">
      <c r="A476" s="46" t="s">
        <v>288</v>
      </c>
      <c r="B476" s="12" t="s">
        <v>561</v>
      </c>
      <c r="C476" s="13" t="s">
        <v>78</v>
      </c>
      <c r="D476" s="13" t="s">
        <v>67</v>
      </c>
      <c r="E476" s="13" t="s">
        <v>511</v>
      </c>
      <c r="F476" s="13"/>
      <c r="G476" s="14">
        <f t="shared" si="62"/>
        <v>5617</v>
      </c>
      <c r="H476" s="87">
        <f t="shared" si="62"/>
        <v>5617</v>
      </c>
      <c r="I476" s="14">
        <f t="shared" si="59"/>
        <v>0</v>
      </c>
      <c r="J476" s="77">
        <f t="shared" si="60"/>
        <v>100</v>
      </c>
    </row>
    <row r="477" spans="1:10" ht="25.5">
      <c r="A477" s="46" t="s">
        <v>114</v>
      </c>
      <c r="B477" s="12" t="s">
        <v>561</v>
      </c>
      <c r="C477" s="13" t="s">
        <v>78</v>
      </c>
      <c r="D477" s="13" t="s">
        <v>67</v>
      </c>
      <c r="E477" s="13" t="s">
        <v>511</v>
      </c>
      <c r="F477" s="13" t="s">
        <v>115</v>
      </c>
      <c r="G477" s="14">
        <f t="shared" si="62"/>
        <v>5617</v>
      </c>
      <c r="H477" s="87">
        <f t="shared" si="62"/>
        <v>5617</v>
      </c>
      <c r="I477" s="14">
        <f t="shared" si="59"/>
        <v>0</v>
      </c>
      <c r="J477" s="77">
        <f t="shared" si="60"/>
        <v>100</v>
      </c>
    </row>
    <row r="478" spans="1:10" ht="16.5" customHeight="1">
      <c r="A478" s="46" t="s">
        <v>116</v>
      </c>
      <c r="B478" s="12" t="s">
        <v>561</v>
      </c>
      <c r="C478" s="13" t="s">
        <v>78</v>
      </c>
      <c r="D478" s="13" t="s">
        <v>67</v>
      </c>
      <c r="E478" s="13" t="s">
        <v>511</v>
      </c>
      <c r="F478" s="13" t="s">
        <v>117</v>
      </c>
      <c r="G478" s="14">
        <f t="shared" si="62"/>
        <v>5617</v>
      </c>
      <c r="H478" s="87">
        <f t="shared" si="62"/>
        <v>5617</v>
      </c>
      <c r="I478" s="14">
        <f t="shared" si="59"/>
        <v>0</v>
      </c>
      <c r="J478" s="77">
        <f t="shared" si="60"/>
        <v>100</v>
      </c>
    </row>
    <row r="479" spans="1:10" ht="38.25">
      <c r="A479" s="46" t="s">
        <v>118</v>
      </c>
      <c r="B479" s="12" t="s">
        <v>561</v>
      </c>
      <c r="C479" s="13" t="s">
        <v>78</v>
      </c>
      <c r="D479" s="13" t="s">
        <v>67</v>
      </c>
      <c r="E479" s="13" t="s">
        <v>511</v>
      </c>
      <c r="F479" s="13" t="s">
        <v>119</v>
      </c>
      <c r="G479" s="14">
        <v>5617</v>
      </c>
      <c r="H479" s="87">
        <v>5617</v>
      </c>
      <c r="I479" s="14">
        <f t="shared" si="59"/>
        <v>0</v>
      </c>
      <c r="J479" s="77">
        <f t="shared" si="60"/>
        <v>100</v>
      </c>
    </row>
    <row r="480" spans="1:10" ht="12.75">
      <c r="A480" s="60" t="s">
        <v>172</v>
      </c>
      <c r="B480" s="37" t="s">
        <v>562</v>
      </c>
      <c r="C480" s="29"/>
      <c r="D480" s="29"/>
      <c r="E480" s="29"/>
      <c r="F480" s="29"/>
      <c r="G480" s="30">
        <f>G481</f>
        <v>298137.3</v>
      </c>
      <c r="H480" s="105">
        <f>H481</f>
        <v>291577.80000000005</v>
      </c>
      <c r="I480" s="30">
        <f t="shared" si="59"/>
        <v>6559.499999999942</v>
      </c>
      <c r="J480" s="82">
        <f t="shared" si="60"/>
        <v>97.79983920160277</v>
      </c>
    </row>
    <row r="481" spans="1:10" ht="12.75">
      <c r="A481" s="60" t="s">
        <v>8</v>
      </c>
      <c r="B481" s="37" t="s">
        <v>562</v>
      </c>
      <c r="C481" s="29" t="s">
        <v>69</v>
      </c>
      <c r="D481" s="29" t="s">
        <v>36</v>
      </c>
      <c r="E481" s="13"/>
      <c r="F481" s="13"/>
      <c r="G481" s="30">
        <f>G482+G559+G681+G739</f>
        <v>298137.3</v>
      </c>
      <c r="H481" s="105">
        <f>H482+H559+H681+H739</f>
        <v>291577.80000000005</v>
      </c>
      <c r="I481" s="30">
        <f t="shared" si="59"/>
        <v>6559.499999999942</v>
      </c>
      <c r="J481" s="82">
        <f t="shared" si="60"/>
        <v>97.79983920160277</v>
      </c>
    </row>
    <row r="482" spans="1:10" ht="12.75">
      <c r="A482" s="60" t="s">
        <v>9</v>
      </c>
      <c r="B482" s="37" t="s">
        <v>562</v>
      </c>
      <c r="C482" s="29" t="s">
        <v>69</v>
      </c>
      <c r="D482" s="29" t="s">
        <v>66</v>
      </c>
      <c r="E482" s="29"/>
      <c r="F482" s="29"/>
      <c r="G482" s="30">
        <f>G483+G516+G522+G528+G542+G552+G502</f>
        <v>76884.5</v>
      </c>
      <c r="H482" s="105">
        <f>H483+H516+H522+H528+H542+H552+H502</f>
        <v>75732.5</v>
      </c>
      <c r="I482" s="30">
        <f t="shared" si="59"/>
        <v>1152</v>
      </c>
      <c r="J482" s="82">
        <f t="shared" si="60"/>
        <v>98.50164857676124</v>
      </c>
    </row>
    <row r="483" spans="1:10" ht="25.5">
      <c r="A483" s="46" t="s">
        <v>309</v>
      </c>
      <c r="B483" s="12" t="s">
        <v>562</v>
      </c>
      <c r="C483" s="13" t="s">
        <v>69</v>
      </c>
      <c r="D483" s="13" t="s">
        <v>66</v>
      </c>
      <c r="E483" s="13" t="s">
        <v>310</v>
      </c>
      <c r="F483" s="13"/>
      <c r="G483" s="14">
        <f>G484</f>
        <v>61687.6</v>
      </c>
      <c r="H483" s="87">
        <f>H484</f>
        <v>61133.8</v>
      </c>
      <c r="I483" s="14">
        <f t="shared" si="59"/>
        <v>553.7999999999956</v>
      </c>
      <c r="J483" s="77">
        <f t="shared" si="60"/>
        <v>99.10225069543961</v>
      </c>
    </row>
    <row r="484" spans="1:10" ht="25.5">
      <c r="A484" s="46" t="s">
        <v>163</v>
      </c>
      <c r="B484" s="12" t="s">
        <v>562</v>
      </c>
      <c r="C484" s="13" t="s">
        <v>69</v>
      </c>
      <c r="D484" s="13" t="s">
        <v>66</v>
      </c>
      <c r="E484" s="13" t="s">
        <v>311</v>
      </c>
      <c r="F484" s="13"/>
      <c r="G484" s="14">
        <f>G485</f>
        <v>61687.6</v>
      </c>
      <c r="H484" s="87">
        <f>H485</f>
        <v>61133.8</v>
      </c>
      <c r="I484" s="14">
        <f t="shared" si="59"/>
        <v>553.7999999999956</v>
      </c>
      <c r="J484" s="77">
        <f t="shared" si="60"/>
        <v>99.10225069543961</v>
      </c>
    </row>
    <row r="485" spans="1:10" ht="12.75">
      <c r="A485" s="46" t="s">
        <v>312</v>
      </c>
      <c r="B485" s="12" t="s">
        <v>562</v>
      </c>
      <c r="C485" s="13" t="s">
        <v>69</v>
      </c>
      <c r="D485" s="13" t="s">
        <v>66</v>
      </c>
      <c r="E485" s="13" t="s">
        <v>313</v>
      </c>
      <c r="F485" s="13"/>
      <c r="G485" s="14">
        <f>G486+G490+G494+G498</f>
        <v>61687.6</v>
      </c>
      <c r="H485" s="87">
        <f>H486+H490+H494+H498</f>
        <v>61133.8</v>
      </c>
      <c r="I485" s="14">
        <f t="shared" si="59"/>
        <v>553.7999999999956</v>
      </c>
      <c r="J485" s="77">
        <f t="shared" si="60"/>
        <v>99.10225069543961</v>
      </c>
    </row>
    <row r="486" spans="1:10" ht="38.25">
      <c r="A486" s="46" t="s">
        <v>394</v>
      </c>
      <c r="B486" s="12" t="s">
        <v>562</v>
      </c>
      <c r="C486" s="13" t="s">
        <v>69</v>
      </c>
      <c r="D486" s="13" t="s">
        <v>66</v>
      </c>
      <c r="E486" s="13" t="s">
        <v>326</v>
      </c>
      <c r="F486" s="13"/>
      <c r="G486" s="14">
        <f aca="true" t="shared" si="63" ref="G486:H488">G487</f>
        <v>345.6</v>
      </c>
      <c r="H486" s="87">
        <f t="shared" si="63"/>
        <v>249</v>
      </c>
      <c r="I486" s="14">
        <f t="shared" si="59"/>
        <v>96.60000000000002</v>
      </c>
      <c r="J486" s="77">
        <f t="shared" si="60"/>
        <v>72.0486111111111</v>
      </c>
    </row>
    <row r="487" spans="1:10" ht="25.5">
      <c r="A487" s="46" t="s">
        <v>114</v>
      </c>
      <c r="B487" s="12" t="s">
        <v>562</v>
      </c>
      <c r="C487" s="13" t="s">
        <v>69</v>
      </c>
      <c r="D487" s="13" t="s">
        <v>66</v>
      </c>
      <c r="E487" s="13" t="s">
        <v>326</v>
      </c>
      <c r="F487" s="13" t="s">
        <v>115</v>
      </c>
      <c r="G487" s="14">
        <f t="shared" si="63"/>
        <v>345.6</v>
      </c>
      <c r="H487" s="87">
        <f t="shared" si="63"/>
        <v>249</v>
      </c>
      <c r="I487" s="14">
        <f t="shared" si="59"/>
        <v>96.60000000000002</v>
      </c>
      <c r="J487" s="77">
        <f t="shared" si="60"/>
        <v>72.0486111111111</v>
      </c>
    </row>
    <row r="488" spans="1:10" ht="12.75">
      <c r="A488" s="46" t="s">
        <v>120</v>
      </c>
      <c r="B488" s="12" t="s">
        <v>562</v>
      </c>
      <c r="C488" s="13" t="s">
        <v>69</v>
      </c>
      <c r="D488" s="13" t="s">
        <v>66</v>
      </c>
      <c r="E488" s="13" t="s">
        <v>326</v>
      </c>
      <c r="F488" s="13" t="s">
        <v>121</v>
      </c>
      <c r="G488" s="14">
        <f t="shared" si="63"/>
        <v>345.6</v>
      </c>
      <c r="H488" s="87">
        <f t="shared" si="63"/>
        <v>249</v>
      </c>
      <c r="I488" s="14">
        <f t="shared" si="59"/>
        <v>96.60000000000002</v>
      </c>
      <c r="J488" s="77">
        <f t="shared" si="60"/>
        <v>72.0486111111111</v>
      </c>
    </row>
    <row r="489" spans="1:10" ht="38.25">
      <c r="A489" s="46" t="s">
        <v>122</v>
      </c>
      <c r="B489" s="12" t="s">
        <v>562</v>
      </c>
      <c r="C489" s="13" t="s">
        <v>69</v>
      </c>
      <c r="D489" s="13" t="s">
        <v>66</v>
      </c>
      <c r="E489" s="13" t="s">
        <v>326</v>
      </c>
      <c r="F489" s="13" t="s">
        <v>123</v>
      </c>
      <c r="G489" s="14">
        <f>392-46.4</f>
        <v>345.6</v>
      </c>
      <c r="H489" s="87">
        <v>249</v>
      </c>
      <c r="I489" s="14">
        <f t="shared" si="59"/>
        <v>96.60000000000002</v>
      </c>
      <c r="J489" s="77">
        <f t="shared" si="60"/>
        <v>72.0486111111111</v>
      </c>
    </row>
    <row r="490" spans="1:10" ht="51">
      <c r="A490" s="46" t="s">
        <v>570</v>
      </c>
      <c r="B490" s="12" t="s">
        <v>562</v>
      </c>
      <c r="C490" s="13" t="s">
        <v>69</v>
      </c>
      <c r="D490" s="13" t="s">
        <v>66</v>
      </c>
      <c r="E490" s="13" t="s">
        <v>327</v>
      </c>
      <c r="F490" s="13"/>
      <c r="G490" s="14">
        <f aca="true" t="shared" si="64" ref="G490:H492">G491</f>
        <v>1441.3999999999999</v>
      </c>
      <c r="H490" s="87">
        <f t="shared" si="64"/>
        <v>1378.8</v>
      </c>
      <c r="I490" s="14">
        <f t="shared" si="59"/>
        <v>62.59999999999991</v>
      </c>
      <c r="J490" s="77">
        <f t="shared" si="60"/>
        <v>95.657000138754</v>
      </c>
    </row>
    <row r="491" spans="1:10" ht="25.5">
      <c r="A491" s="46" t="s">
        <v>114</v>
      </c>
      <c r="B491" s="12" t="s">
        <v>562</v>
      </c>
      <c r="C491" s="13" t="s">
        <v>69</v>
      </c>
      <c r="D491" s="13" t="s">
        <v>66</v>
      </c>
      <c r="E491" s="13" t="s">
        <v>327</v>
      </c>
      <c r="F491" s="13" t="s">
        <v>115</v>
      </c>
      <c r="G491" s="14">
        <f t="shared" si="64"/>
        <v>1441.3999999999999</v>
      </c>
      <c r="H491" s="87">
        <f t="shared" si="64"/>
        <v>1378.8</v>
      </c>
      <c r="I491" s="14">
        <f t="shared" si="59"/>
        <v>62.59999999999991</v>
      </c>
      <c r="J491" s="77">
        <f t="shared" si="60"/>
        <v>95.657000138754</v>
      </c>
    </row>
    <row r="492" spans="1:10" ht="12.75">
      <c r="A492" s="46" t="s">
        <v>120</v>
      </c>
      <c r="B492" s="12" t="s">
        <v>562</v>
      </c>
      <c r="C492" s="13" t="s">
        <v>69</v>
      </c>
      <c r="D492" s="13" t="s">
        <v>66</v>
      </c>
      <c r="E492" s="13" t="s">
        <v>327</v>
      </c>
      <c r="F492" s="13" t="s">
        <v>121</v>
      </c>
      <c r="G492" s="14">
        <f t="shared" si="64"/>
        <v>1441.3999999999999</v>
      </c>
      <c r="H492" s="87">
        <f t="shared" si="64"/>
        <v>1378.8</v>
      </c>
      <c r="I492" s="14">
        <f t="shared" si="59"/>
        <v>62.59999999999991</v>
      </c>
      <c r="J492" s="77">
        <f t="shared" si="60"/>
        <v>95.657000138754</v>
      </c>
    </row>
    <row r="493" spans="1:10" ht="38.25">
      <c r="A493" s="46" t="s">
        <v>122</v>
      </c>
      <c r="B493" s="12" t="s">
        <v>562</v>
      </c>
      <c r="C493" s="13" t="s">
        <v>69</v>
      </c>
      <c r="D493" s="13" t="s">
        <v>66</v>
      </c>
      <c r="E493" s="13" t="s">
        <v>327</v>
      </c>
      <c r="F493" s="13" t="s">
        <v>123</v>
      </c>
      <c r="G493" s="14">
        <f>1203.8+247-9.4</f>
        <v>1441.3999999999999</v>
      </c>
      <c r="H493" s="87">
        <v>1378.8</v>
      </c>
      <c r="I493" s="14">
        <f t="shared" si="59"/>
        <v>62.59999999999991</v>
      </c>
      <c r="J493" s="77">
        <f t="shared" si="60"/>
        <v>95.657000138754</v>
      </c>
    </row>
    <row r="494" spans="1:10" ht="38.25">
      <c r="A494" s="46" t="s">
        <v>395</v>
      </c>
      <c r="B494" s="12" t="s">
        <v>562</v>
      </c>
      <c r="C494" s="13" t="s">
        <v>69</v>
      </c>
      <c r="D494" s="13" t="s">
        <v>66</v>
      </c>
      <c r="E494" s="13" t="s">
        <v>328</v>
      </c>
      <c r="F494" s="13"/>
      <c r="G494" s="14">
        <f aca="true" t="shared" si="65" ref="G494:H496">G495</f>
        <v>58158.7</v>
      </c>
      <c r="H494" s="87">
        <f t="shared" si="65"/>
        <v>58070</v>
      </c>
      <c r="I494" s="14">
        <f t="shared" si="59"/>
        <v>88.69999999999709</v>
      </c>
      <c r="J494" s="77">
        <f t="shared" si="60"/>
        <v>99.84748627462444</v>
      </c>
    </row>
    <row r="495" spans="1:10" ht="25.5">
      <c r="A495" s="46" t="s">
        <v>114</v>
      </c>
      <c r="B495" s="12" t="s">
        <v>562</v>
      </c>
      <c r="C495" s="13" t="s">
        <v>69</v>
      </c>
      <c r="D495" s="13" t="s">
        <v>66</v>
      </c>
      <c r="E495" s="13" t="s">
        <v>328</v>
      </c>
      <c r="F495" s="13" t="s">
        <v>115</v>
      </c>
      <c r="G495" s="14">
        <f t="shared" si="65"/>
        <v>58158.7</v>
      </c>
      <c r="H495" s="87">
        <f t="shared" si="65"/>
        <v>58070</v>
      </c>
      <c r="I495" s="14">
        <f t="shared" si="59"/>
        <v>88.69999999999709</v>
      </c>
      <c r="J495" s="77">
        <f t="shared" si="60"/>
        <v>99.84748627462444</v>
      </c>
    </row>
    <row r="496" spans="1:10" ht="12.75">
      <c r="A496" s="46" t="s">
        <v>120</v>
      </c>
      <c r="B496" s="12" t="s">
        <v>562</v>
      </c>
      <c r="C496" s="13" t="s">
        <v>69</v>
      </c>
      <c r="D496" s="13" t="s">
        <v>66</v>
      </c>
      <c r="E496" s="13" t="s">
        <v>328</v>
      </c>
      <c r="F496" s="13" t="s">
        <v>121</v>
      </c>
      <c r="G496" s="14">
        <f t="shared" si="65"/>
        <v>58158.7</v>
      </c>
      <c r="H496" s="87">
        <f t="shared" si="65"/>
        <v>58070</v>
      </c>
      <c r="I496" s="14">
        <f t="shared" si="59"/>
        <v>88.69999999999709</v>
      </c>
      <c r="J496" s="77">
        <f t="shared" si="60"/>
        <v>99.84748627462444</v>
      </c>
    </row>
    <row r="497" spans="1:10" ht="38.25">
      <c r="A497" s="46" t="s">
        <v>122</v>
      </c>
      <c r="B497" s="12" t="s">
        <v>562</v>
      </c>
      <c r="C497" s="13" t="s">
        <v>69</v>
      </c>
      <c r="D497" s="13" t="s">
        <v>66</v>
      </c>
      <c r="E497" s="13" t="s">
        <v>328</v>
      </c>
      <c r="F497" s="13" t="s">
        <v>123</v>
      </c>
      <c r="G497" s="14">
        <v>58158.7</v>
      </c>
      <c r="H497" s="87">
        <v>58070</v>
      </c>
      <c r="I497" s="14">
        <f t="shared" si="59"/>
        <v>88.69999999999709</v>
      </c>
      <c r="J497" s="77">
        <f t="shared" si="60"/>
        <v>99.84748627462444</v>
      </c>
    </row>
    <row r="498" spans="1:10" ht="57.75" customHeight="1">
      <c r="A498" s="46" t="s">
        <v>571</v>
      </c>
      <c r="B498" s="12" t="s">
        <v>562</v>
      </c>
      <c r="C498" s="13" t="s">
        <v>69</v>
      </c>
      <c r="D498" s="13" t="s">
        <v>66</v>
      </c>
      <c r="E498" s="13" t="s">
        <v>330</v>
      </c>
      <c r="F498" s="13"/>
      <c r="G498" s="14">
        <f aca="true" t="shared" si="66" ref="G498:H500">G499</f>
        <v>1741.9</v>
      </c>
      <c r="H498" s="87">
        <f t="shared" si="66"/>
        <v>1436</v>
      </c>
      <c r="I498" s="14">
        <f t="shared" si="59"/>
        <v>305.9000000000001</v>
      </c>
      <c r="J498" s="77">
        <f t="shared" si="60"/>
        <v>82.43871634422182</v>
      </c>
    </row>
    <row r="499" spans="1:10" ht="25.5">
      <c r="A499" s="46" t="s">
        <v>114</v>
      </c>
      <c r="B499" s="12" t="s">
        <v>562</v>
      </c>
      <c r="C499" s="13" t="s">
        <v>69</v>
      </c>
      <c r="D499" s="13" t="s">
        <v>66</v>
      </c>
      <c r="E499" s="13" t="s">
        <v>330</v>
      </c>
      <c r="F499" s="13" t="s">
        <v>115</v>
      </c>
      <c r="G499" s="14">
        <f t="shared" si="66"/>
        <v>1741.9</v>
      </c>
      <c r="H499" s="87">
        <f t="shared" si="66"/>
        <v>1436</v>
      </c>
      <c r="I499" s="14">
        <f t="shared" si="59"/>
        <v>305.9000000000001</v>
      </c>
      <c r="J499" s="77">
        <f t="shared" si="60"/>
        <v>82.43871634422182</v>
      </c>
    </row>
    <row r="500" spans="1:10" ht="12.75">
      <c r="A500" s="46" t="s">
        <v>120</v>
      </c>
      <c r="B500" s="12" t="s">
        <v>562</v>
      </c>
      <c r="C500" s="13" t="s">
        <v>69</v>
      </c>
      <c r="D500" s="13" t="s">
        <v>66</v>
      </c>
      <c r="E500" s="13" t="s">
        <v>330</v>
      </c>
      <c r="F500" s="13" t="s">
        <v>121</v>
      </c>
      <c r="G500" s="14">
        <f t="shared" si="66"/>
        <v>1741.9</v>
      </c>
      <c r="H500" s="87">
        <f t="shared" si="66"/>
        <v>1436</v>
      </c>
      <c r="I500" s="14">
        <f t="shared" si="59"/>
        <v>305.9000000000001</v>
      </c>
      <c r="J500" s="77">
        <f t="shared" si="60"/>
        <v>82.43871634422182</v>
      </c>
    </row>
    <row r="501" spans="1:10" ht="12.75">
      <c r="A501" s="46" t="s">
        <v>124</v>
      </c>
      <c r="B501" s="12" t="s">
        <v>562</v>
      </c>
      <c r="C501" s="13" t="s">
        <v>69</v>
      </c>
      <c r="D501" s="13" t="s">
        <v>66</v>
      </c>
      <c r="E501" s="13" t="s">
        <v>330</v>
      </c>
      <c r="F501" s="13" t="s">
        <v>125</v>
      </c>
      <c r="G501" s="14">
        <f>1650+91.9</f>
        <v>1741.9</v>
      </c>
      <c r="H501" s="87">
        <v>1436</v>
      </c>
      <c r="I501" s="14">
        <f t="shared" si="59"/>
        <v>305.9000000000001</v>
      </c>
      <c r="J501" s="77">
        <f t="shared" si="60"/>
        <v>82.43871634422182</v>
      </c>
    </row>
    <row r="502" spans="1:10" ht="25.5">
      <c r="A502" s="25" t="s">
        <v>364</v>
      </c>
      <c r="B502" s="12" t="s">
        <v>562</v>
      </c>
      <c r="C502" s="13" t="s">
        <v>69</v>
      </c>
      <c r="D502" s="13" t="s">
        <v>66</v>
      </c>
      <c r="E502" s="45" t="s">
        <v>224</v>
      </c>
      <c r="F502" s="13"/>
      <c r="G502" s="14">
        <f>G503</f>
        <v>1355.3999999999999</v>
      </c>
      <c r="H502" s="87">
        <f>H503</f>
        <v>1355.3</v>
      </c>
      <c r="I502" s="14">
        <f t="shared" si="59"/>
        <v>0.09999999999990905</v>
      </c>
      <c r="J502" s="77">
        <f t="shared" si="60"/>
        <v>99.9926221041759</v>
      </c>
    </row>
    <row r="503" spans="1:10" ht="25.5">
      <c r="A503" s="9" t="s">
        <v>676</v>
      </c>
      <c r="B503" s="12" t="s">
        <v>562</v>
      </c>
      <c r="C503" s="13" t="s">
        <v>69</v>
      </c>
      <c r="D503" s="13" t="s">
        <v>66</v>
      </c>
      <c r="E503" s="45" t="s">
        <v>677</v>
      </c>
      <c r="F503" s="13"/>
      <c r="G503" s="14">
        <f>G504+G508+G512</f>
        <v>1355.3999999999999</v>
      </c>
      <c r="H503" s="87">
        <f>H504+H508+H512</f>
        <v>1355.3</v>
      </c>
      <c r="I503" s="14">
        <f t="shared" si="59"/>
        <v>0.09999999999990905</v>
      </c>
      <c r="J503" s="77">
        <f t="shared" si="60"/>
        <v>99.9926221041759</v>
      </c>
    </row>
    <row r="504" spans="1:10" ht="25.5">
      <c r="A504" s="9" t="s">
        <v>698</v>
      </c>
      <c r="B504" s="12" t="s">
        <v>562</v>
      </c>
      <c r="C504" s="13" t="s">
        <v>69</v>
      </c>
      <c r="D504" s="13" t="s">
        <v>66</v>
      </c>
      <c r="E504" s="45" t="s">
        <v>678</v>
      </c>
      <c r="F504" s="13"/>
      <c r="G504" s="14">
        <f aca="true" t="shared" si="67" ref="G504:H506">G505</f>
        <v>1185</v>
      </c>
      <c r="H504" s="87">
        <f t="shared" si="67"/>
        <v>1185</v>
      </c>
      <c r="I504" s="14">
        <f t="shared" si="59"/>
        <v>0</v>
      </c>
      <c r="J504" s="77">
        <f t="shared" si="60"/>
        <v>100</v>
      </c>
    </row>
    <row r="505" spans="1:10" ht="25.5">
      <c r="A505" s="9" t="s">
        <v>114</v>
      </c>
      <c r="B505" s="12" t="s">
        <v>562</v>
      </c>
      <c r="C505" s="13" t="s">
        <v>69</v>
      </c>
      <c r="D505" s="13" t="s">
        <v>66</v>
      </c>
      <c r="E505" s="45" t="s">
        <v>678</v>
      </c>
      <c r="F505" s="13" t="s">
        <v>115</v>
      </c>
      <c r="G505" s="14">
        <f t="shared" si="67"/>
        <v>1185</v>
      </c>
      <c r="H505" s="87">
        <f t="shared" si="67"/>
        <v>1185</v>
      </c>
      <c r="I505" s="14">
        <f t="shared" si="59"/>
        <v>0</v>
      </c>
      <c r="J505" s="77">
        <f t="shared" si="60"/>
        <v>100</v>
      </c>
    </row>
    <row r="506" spans="1:10" ht="12.75">
      <c r="A506" s="9" t="s">
        <v>120</v>
      </c>
      <c r="B506" s="12" t="s">
        <v>562</v>
      </c>
      <c r="C506" s="13" t="s">
        <v>69</v>
      </c>
      <c r="D506" s="13" t="s">
        <v>66</v>
      </c>
      <c r="E506" s="45" t="s">
        <v>678</v>
      </c>
      <c r="F506" s="13" t="s">
        <v>121</v>
      </c>
      <c r="G506" s="14">
        <f t="shared" si="67"/>
        <v>1185</v>
      </c>
      <c r="H506" s="87">
        <f t="shared" si="67"/>
        <v>1185</v>
      </c>
      <c r="I506" s="14">
        <f t="shared" si="59"/>
        <v>0</v>
      </c>
      <c r="J506" s="77">
        <f t="shared" si="60"/>
        <v>100</v>
      </c>
    </row>
    <row r="507" spans="1:10" ht="12.75">
      <c r="A507" s="9" t="s">
        <v>124</v>
      </c>
      <c r="B507" s="12" t="s">
        <v>562</v>
      </c>
      <c r="C507" s="13" t="s">
        <v>69</v>
      </c>
      <c r="D507" s="13" t="s">
        <v>66</v>
      </c>
      <c r="E507" s="45" t="s">
        <v>678</v>
      </c>
      <c r="F507" s="13" t="s">
        <v>125</v>
      </c>
      <c r="G507" s="14">
        <f>2000-815</f>
        <v>1185</v>
      </c>
      <c r="H507" s="87">
        <v>1185</v>
      </c>
      <c r="I507" s="14">
        <f t="shared" si="59"/>
        <v>0</v>
      </c>
      <c r="J507" s="77">
        <f t="shared" si="60"/>
        <v>100</v>
      </c>
    </row>
    <row r="508" spans="1:10" ht="25.5">
      <c r="A508" s="9" t="s">
        <v>749</v>
      </c>
      <c r="B508" s="12" t="s">
        <v>562</v>
      </c>
      <c r="C508" s="13" t="s">
        <v>69</v>
      </c>
      <c r="D508" s="13" t="s">
        <v>66</v>
      </c>
      <c r="E508" s="45" t="s">
        <v>679</v>
      </c>
      <c r="F508" s="13"/>
      <c r="G508" s="14">
        <f aca="true" t="shared" si="68" ref="G508:H510">G509</f>
        <v>112.8</v>
      </c>
      <c r="H508" s="87">
        <f t="shared" si="68"/>
        <v>112.7</v>
      </c>
      <c r="I508" s="14">
        <f t="shared" si="59"/>
        <v>0.09999999999999432</v>
      </c>
      <c r="J508" s="77">
        <f t="shared" si="60"/>
        <v>99.91134751773049</v>
      </c>
    </row>
    <row r="509" spans="1:10" ht="25.5">
      <c r="A509" s="9" t="s">
        <v>114</v>
      </c>
      <c r="B509" s="12" t="s">
        <v>562</v>
      </c>
      <c r="C509" s="13" t="s">
        <v>69</v>
      </c>
      <c r="D509" s="13" t="s">
        <v>66</v>
      </c>
      <c r="E509" s="45" t="s">
        <v>679</v>
      </c>
      <c r="F509" s="13" t="s">
        <v>115</v>
      </c>
      <c r="G509" s="14">
        <f t="shared" si="68"/>
        <v>112.8</v>
      </c>
      <c r="H509" s="87">
        <f t="shared" si="68"/>
        <v>112.7</v>
      </c>
      <c r="I509" s="14">
        <f t="shared" si="59"/>
        <v>0.09999999999999432</v>
      </c>
      <c r="J509" s="77">
        <f t="shared" si="60"/>
        <v>99.91134751773049</v>
      </c>
    </row>
    <row r="510" spans="1:10" ht="12.75">
      <c r="A510" s="9" t="s">
        <v>120</v>
      </c>
      <c r="B510" s="12" t="s">
        <v>562</v>
      </c>
      <c r="C510" s="13" t="s">
        <v>69</v>
      </c>
      <c r="D510" s="13" t="s">
        <v>66</v>
      </c>
      <c r="E510" s="45" t="s">
        <v>679</v>
      </c>
      <c r="F510" s="13" t="s">
        <v>121</v>
      </c>
      <c r="G510" s="14">
        <f t="shared" si="68"/>
        <v>112.8</v>
      </c>
      <c r="H510" s="87">
        <f t="shared" si="68"/>
        <v>112.7</v>
      </c>
      <c r="I510" s="14">
        <f t="shared" si="59"/>
        <v>0.09999999999999432</v>
      </c>
      <c r="J510" s="77">
        <f t="shared" si="60"/>
        <v>99.91134751773049</v>
      </c>
    </row>
    <row r="511" spans="1:10" ht="12.75">
      <c r="A511" s="9" t="s">
        <v>124</v>
      </c>
      <c r="B511" s="12" t="s">
        <v>562</v>
      </c>
      <c r="C511" s="13" t="s">
        <v>69</v>
      </c>
      <c r="D511" s="13" t="s">
        <v>66</v>
      </c>
      <c r="E511" s="45" t="s">
        <v>679</v>
      </c>
      <c r="F511" s="13" t="s">
        <v>125</v>
      </c>
      <c r="G511" s="14">
        <v>112.8</v>
      </c>
      <c r="H511" s="87">
        <v>112.7</v>
      </c>
      <c r="I511" s="14">
        <f t="shared" si="59"/>
        <v>0.09999999999999432</v>
      </c>
      <c r="J511" s="77">
        <f t="shared" si="60"/>
        <v>99.91134751773049</v>
      </c>
    </row>
    <row r="512" spans="1:10" ht="63.75">
      <c r="A512" s="9" t="s">
        <v>735</v>
      </c>
      <c r="B512" s="12" t="s">
        <v>562</v>
      </c>
      <c r="C512" s="13" t="s">
        <v>69</v>
      </c>
      <c r="D512" s="13" t="s">
        <v>66</v>
      </c>
      <c r="E512" s="45" t="s">
        <v>736</v>
      </c>
      <c r="F512" s="13"/>
      <c r="G512" s="14">
        <f aca="true" t="shared" si="69" ref="G512:H514">G513</f>
        <v>57.599999999999994</v>
      </c>
      <c r="H512" s="87">
        <f t="shared" si="69"/>
        <v>57.6</v>
      </c>
      <c r="I512" s="14">
        <f t="shared" si="59"/>
        <v>0</v>
      </c>
      <c r="J512" s="77">
        <f t="shared" si="60"/>
        <v>100.00000000000003</v>
      </c>
    </row>
    <row r="513" spans="1:10" ht="25.5">
      <c r="A513" s="9" t="s">
        <v>114</v>
      </c>
      <c r="B513" s="12" t="s">
        <v>562</v>
      </c>
      <c r="C513" s="13" t="s">
        <v>69</v>
      </c>
      <c r="D513" s="13" t="s">
        <v>66</v>
      </c>
      <c r="E513" s="45" t="s">
        <v>736</v>
      </c>
      <c r="F513" s="13" t="s">
        <v>115</v>
      </c>
      <c r="G513" s="14">
        <f t="shared" si="69"/>
        <v>57.599999999999994</v>
      </c>
      <c r="H513" s="87">
        <f t="shared" si="69"/>
        <v>57.6</v>
      </c>
      <c r="I513" s="14">
        <f t="shared" si="59"/>
        <v>0</v>
      </c>
      <c r="J513" s="77">
        <f t="shared" si="60"/>
        <v>100.00000000000003</v>
      </c>
    </row>
    <row r="514" spans="1:10" ht="12.75">
      <c r="A514" s="9" t="s">
        <v>120</v>
      </c>
      <c r="B514" s="12" t="s">
        <v>562</v>
      </c>
      <c r="C514" s="13" t="s">
        <v>69</v>
      </c>
      <c r="D514" s="13" t="s">
        <v>66</v>
      </c>
      <c r="E514" s="45" t="s">
        <v>736</v>
      </c>
      <c r="F514" s="13" t="s">
        <v>121</v>
      </c>
      <c r="G514" s="14">
        <f t="shared" si="69"/>
        <v>57.599999999999994</v>
      </c>
      <c r="H514" s="87">
        <f t="shared" si="69"/>
        <v>57.6</v>
      </c>
      <c r="I514" s="14">
        <f t="shared" si="59"/>
        <v>0</v>
      </c>
      <c r="J514" s="77">
        <f t="shared" si="60"/>
        <v>100.00000000000003</v>
      </c>
    </row>
    <row r="515" spans="1:10" ht="12.75">
      <c r="A515" s="9" t="s">
        <v>124</v>
      </c>
      <c r="B515" s="12" t="s">
        <v>562</v>
      </c>
      <c r="C515" s="13" t="s">
        <v>69</v>
      </c>
      <c r="D515" s="13" t="s">
        <v>66</v>
      </c>
      <c r="E515" s="45" t="s">
        <v>736</v>
      </c>
      <c r="F515" s="13" t="s">
        <v>125</v>
      </c>
      <c r="G515" s="14">
        <f>221.2-163.6</f>
        <v>57.599999999999994</v>
      </c>
      <c r="H515" s="87">
        <v>57.6</v>
      </c>
      <c r="I515" s="14">
        <f t="shared" si="59"/>
        <v>0</v>
      </c>
      <c r="J515" s="77">
        <f t="shared" si="60"/>
        <v>100.00000000000003</v>
      </c>
    </row>
    <row r="516" spans="1:10" ht="25.5">
      <c r="A516" s="46" t="s">
        <v>359</v>
      </c>
      <c r="B516" s="12" t="s">
        <v>562</v>
      </c>
      <c r="C516" s="13" t="s">
        <v>69</v>
      </c>
      <c r="D516" s="13" t="s">
        <v>66</v>
      </c>
      <c r="E516" s="45" t="s">
        <v>202</v>
      </c>
      <c r="F516" s="32"/>
      <c r="G516" s="14">
        <f aca="true" t="shared" si="70" ref="G516:H520">G517</f>
        <v>202</v>
      </c>
      <c r="H516" s="87">
        <f t="shared" si="70"/>
        <v>201.6</v>
      </c>
      <c r="I516" s="14">
        <f t="shared" si="59"/>
        <v>0.4000000000000057</v>
      </c>
      <c r="J516" s="77">
        <f t="shared" si="60"/>
        <v>99.8019801980198</v>
      </c>
    </row>
    <row r="517" spans="1:10" ht="25.5">
      <c r="A517" s="46" t="s">
        <v>385</v>
      </c>
      <c r="B517" s="12" t="s">
        <v>562</v>
      </c>
      <c r="C517" s="13" t="s">
        <v>69</v>
      </c>
      <c r="D517" s="13" t="s">
        <v>66</v>
      </c>
      <c r="E517" s="45" t="s">
        <v>449</v>
      </c>
      <c r="F517" s="32"/>
      <c r="G517" s="14">
        <f t="shared" si="70"/>
        <v>202</v>
      </c>
      <c r="H517" s="87">
        <f t="shared" si="70"/>
        <v>201.6</v>
      </c>
      <c r="I517" s="14">
        <f t="shared" si="59"/>
        <v>0.4000000000000057</v>
      </c>
      <c r="J517" s="77">
        <f t="shared" si="60"/>
        <v>99.8019801980198</v>
      </c>
    </row>
    <row r="518" spans="1:10" ht="12.75">
      <c r="A518" s="46" t="s">
        <v>199</v>
      </c>
      <c r="B518" s="12" t="s">
        <v>562</v>
      </c>
      <c r="C518" s="13" t="s">
        <v>69</v>
      </c>
      <c r="D518" s="13" t="s">
        <v>66</v>
      </c>
      <c r="E518" s="45" t="s">
        <v>450</v>
      </c>
      <c r="F518" s="32"/>
      <c r="G518" s="14">
        <f t="shared" si="70"/>
        <v>202</v>
      </c>
      <c r="H518" s="87">
        <f t="shared" si="70"/>
        <v>201.6</v>
      </c>
      <c r="I518" s="14">
        <f t="shared" si="59"/>
        <v>0.4000000000000057</v>
      </c>
      <c r="J518" s="77">
        <f t="shared" si="60"/>
        <v>99.8019801980198</v>
      </c>
    </row>
    <row r="519" spans="1:10" ht="25.5">
      <c r="A519" s="46" t="s">
        <v>114</v>
      </c>
      <c r="B519" s="12" t="s">
        <v>562</v>
      </c>
      <c r="C519" s="13" t="s">
        <v>69</v>
      </c>
      <c r="D519" s="13" t="s">
        <v>66</v>
      </c>
      <c r="E519" s="45" t="s">
        <v>450</v>
      </c>
      <c r="F519" s="13" t="s">
        <v>115</v>
      </c>
      <c r="G519" s="14">
        <f t="shared" si="70"/>
        <v>202</v>
      </c>
      <c r="H519" s="87">
        <f t="shared" si="70"/>
        <v>201.6</v>
      </c>
      <c r="I519" s="14">
        <f t="shared" si="59"/>
        <v>0.4000000000000057</v>
      </c>
      <c r="J519" s="77">
        <f t="shared" si="60"/>
        <v>99.8019801980198</v>
      </c>
    </row>
    <row r="520" spans="1:10" ht="12.75">
      <c r="A520" s="46" t="s">
        <v>120</v>
      </c>
      <c r="B520" s="12" t="s">
        <v>562</v>
      </c>
      <c r="C520" s="13" t="s">
        <v>69</v>
      </c>
      <c r="D520" s="13" t="s">
        <v>66</v>
      </c>
      <c r="E520" s="45" t="s">
        <v>450</v>
      </c>
      <c r="F520" s="13" t="s">
        <v>121</v>
      </c>
      <c r="G520" s="14">
        <f t="shared" si="70"/>
        <v>202</v>
      </c>
      <c r="H520" s="87">
        <f t="shared" si="70"/>
        <v>201.6</v>
      </c>
      <c r="I520" s="14">
        <f t="shared" si="59"/>
        <v>0.4000000000000057</v>
      </c>
      <c r="J520" s="77">
        <f t="shared" si="60"/>
        <v>99.8019801980198</v>
      </c>
    </row>
    <row r="521" spans="1:10" ht="12.75">
      <c r="A521" s="46" t="s">
        <v>124</v>
      </c>
      <c r="B521" s="12" t="s">
        <v>562</v>
      </c>
      <c r="C521" s="13" t="s">
        <v>69</v>
      </c>
      <c r="D521" s="13" t="s">
        <v>66</v>
      </c>
      <c r="E521" s="45" t="s">
        <v>450</v>
      </c>
      <c r="F521" s="13" t="s">
        <v>125</v>
      </c>
      <c r="G521" s="14">
        <f>199+3</f>
        <v>202</v>
      </c>
      <c r="H521" s="87">
        <v>201.6</v>
      </c>
      <c r="I521" s="14">
        <f t="shared" si="59"/>
        <v>0.4000000000000057</v>
      </c>
      <c r="J521" s="77">
        <f t="shared" si="60"/>
        <v>99.8019801980198</v>
      </c>
    </row>
    <row r="522" spans="1:10" ht="25.5">
      <c r="A522" s="46" t="s">
        <v>360</v>
      </c>
      <c r="B522" s="12" t="s">
        <v>562</v>
      </c>
      <c r="C522" s="13" t="s">
        <v>69</v>
      </c>
      <c r="D522" s="13" t="s">
        <v>66</v>
      </c>
      <c r="E522" s="45" t="s">
        <v>203</v>
      </c>
      <c r="F522" s="13"/>
      <c r="G522" s="14">
        <f aca="true" t="shared" si="71" ref="G522:H526">G523</f>
        <v>142.3</v>
      </c>
      <c r="H522" s="87">
        <f t="shared" si="71"/>
        <v>117.9</v>
      </c>
      <c r="I522" s="14">
        <f aca="true" t="shared" si="72" ref="I522:I585">G522-H522</f>
        <v>24.400000000000006</v>
      </c>
      <c r="J522" s="77">
        <f aca="true" t="shared" si="73" ref="J522:J585">H522/G522*100</f>
        <v>82.85312719606465</v>
      </c>
    </row>
    <row r="523" spans="1:10" ht="25.5">
      <c r="A523" s="46" t="s">
        <v>354</v>
      </c>
      <c r="B523" s="12" t="s">
        <v>562</v>
      </c>
      <c r="C523" s="13" t="s">
        <v>69</v>
      </c>
      <c r="D523" s="13" t="s">
        <v>66</v>
      </c>
      <c r="E523" s="45" t="s">
        <v>451</v>
      </c>
      <c r="F523" s="13"/>
      <c r="G523" s="14">
        <f t="shared" si="71"/>
        <v>142.3</v>
      </c>
      <c r="H523" s="87">
        <f t="shared" si="71"/>
        <v>117.9</v>
      </c>
      <c r="I523" s="14">
        <f t="shared" si="72"/>
        <v>24.400000000000006</v>
      </c>
      <c r="J523" s="77">
        <f t="shared" si="73"/>
        <v>82.85312719606465</v>
      </c>
    </row>
    <row r="524" spans="1:10" ht="12.75">
      <c r="A524" s="46" t="s">
        <v>204</v>
      </c>
      <c r="B524" s="12" t="s">
        <v>562</v>
      </c>
      <c r="C524" s="13" t="s">
        <v>69</v>
      </c>
      <c r="D524" s="13" t="s">
        <v>66</v>
      </c>
      <c r="E524" s="45" t="s">
        <v>452</v>
      </c>
      <c r="F524" s="13"/>
      <c r="G524" s="14">
        <f t="shared" si="71"/>
        <v>142.3</v>
      </c>
      <c r="H524" s="87">
        <f t="shared" si="71"/>
        <v>117.9</v>
      </c>
      <c r="I524" s="14">
        <f t="shared" si="72"/>
        <v>24.400000000000006</v>
      </c>
      <c r="J524" s="77">
        <f t="shared" si="73"/>
        <v>82.85312719606465</v>
      </c>
    </row>
    <row r="525" spans="1:10" ht="25.5">
      <c r="A525" s="46" t="s">
        <v>114</v>
      </c>
      <c r="B525" s="12" t="s">
        <v>562</v>
      </c>
      <c r="C525" s="13" t="s">
        <v>69</v>
      </c>
      <c r="D525" s="13" t="s">
        <v>66</v>
      </c>
      <c r="E525" s="45" t="s">
        <v>452</v>
      </c>
      <c r="F525" s="13" t="s">
        <v>115</v>
      </c>
      <c r="G525" s="14">
        <f t="shared" si="71"/>
        <v>142.3</v>
      </c>
      <c r="H525" s="87">
        <f t="shared" si="71"/>
        <v>117.9</v>
      </c>
      <c r="I525" s="14">
        <f t="shared" si="72"/>
        <v>24.400000000000006</v>
      </c>
      <c r="J525" s="77">
        <f t="shared" si="73"/>
        <v>82.85312719606465</v>
      </c>
    </row>
    <row r="526" spans="1:10" ht="12.75">
      <c r="A526" s="46" t="s">
        <v>120</v>
      </c>
      <c r="B526" s="12" t="s">
        <v>562</v>
      </c>
      <c r="C526" s="13" t="s">
        <v>69</v>
      </c>
      <c r="D526" s="13" t="s">
        <v>66</v>
      </c>
      <c r="E526" s="45" t="s">
        <v>452</v>
      </c>
      <c r="F526" s="13" t="s">
        <v>121</v>
      </c>
      <c r="G526" s="14">
        <f t="shared" si="71"/>
        <v>142.3</v>
      </c>
      <c r="H526" s="87">
        <f t="shared" si="71"/>
        <v>117.9</v>
      </c>
      <c r="I526" s="14">
        <f t="shared" si="72"/>
        <v>24.400000000000006</v>
      </c>
      <c r="J526" s="77">
        <f t="shared" si="73"/>
        <v>82.85312719606465</v>
      </c>
    </row>
    <row r="527" spans="1:10" ht="12.75">
      <c r="A527" s="46" t="s">
        <v>124</v>
      </c>
      <c r="B527" s="12" t="s">
        <v>562</v>
      </c>
      <c r="C527" s="13" t="s">
        <v>69</v>
      </c>
      <c r="D527" s="13" t="s">
        <v>66</v>
      </c>
      <c r="E527" s="45" t="s">
        <v>452</v>
      </c>
      <c r="F527" s="13" t="s">
        <v>125</v>
      </c>
      <c r="G527" s="14">
        <f>123.5+18.8</f>
        <v>142.3</v>
      </c>
      <c r="H527" s="87">
        <v>117.9</v>
      </c>
      <c r="I527" s="14">
        <f t="shared" si="72"/>
        <v>24.400000000000006</v>
      </c>
      <c r="J527" s="77">
        <f t="shared" si="73"/>
        <v>82.85312719606465</v>
      </c>
    </row>
    <row r="528" spans="1:10" ht="25.5">
      <c r="A528" s="46" t="s">
        <v>361</v>
      </c>
      <c r="B528" s="12" t="s">
        <v>562</v>
      </c>
      <c r="C528" s="13" t="s">
        <v>69</v>
      </c>
      <c r="D528" s="13" t="s">
        <v>66</v>
      </c>
      <c r="E528" s="45" t="s">
        <v>206</v>
      </c>
      <c r="F528" s="13"/>
      <c r="G528" s="14">
        <f>G529</f>
        <v>576.7</v>
      </c>
      <c r="H528" s="87">
        <f>H529</f>
        <v>576.5</v>
      </c>
      <c r="I528" s="14">
        <f t="shared" si="72"/>
        <v>0.20000000000004547</v>
      </c>
      <c r="J528" s="77">
        <f t="shared" si="73"/>
        <v>99.96531992370382</v>
      </c>
    </row>
    <row r="529" spans="1:10" ht="25.5">
      <c r="A529" s="46" t="s">
        <v>290</v>
      </c>
      <c r="B529" s="12" t="s">
        <v>562</v>
      </c>
      <c r="C529" s="13" t="s">
        <v>69</v>
      </c>
      <c r="D529" s="13" t="s">
        <v>66</v>
      </c>
      <c r="E529" s="45" t="s">
        <v>453</v>
      </c>
      <c r="F529" s="13"/>
      <c r="G529" s="14">
        <f>G530+G534+G538</f>
        <v>576.7</v>
      </c>
      <c r="H529" s="87">
        <f>H530+H534+H538</f>
        <v>576.5</v>
      </c>
      <c r="I529" s="14">
        <f t="shared" si="72"/>
        <v>0.20000000000004547</v>
      </c>
      <c r="J529" s="77">
        <f t="shared" si="73"/>
        <v>99.96531992370382</v>
      </c>
    </row>
    <row r="530" spans="1:10" ht="12.75">
      <c r="A530" s="46" t="s">
        <v>205</v>
      </c>
      <c r="B530" s="12" t="s">
        <v>562</v>
      </c>
      <c r="C530" s="13" t="s">
        <v>69</v>
      </c>
      <c r="D530" s="13" t="s">
        <v>66</v>
      </c>
      <c r="E530" s="45" t="s">
        <v>454</v>
      </c>
      <c r="F530" s="13"/>
      <c r="G530" s="14">
        <f aca="true" t="shared" si="74" ref="G530:H532">G531</f>
        <v>433.6</v>
      </c>
      <c r="H530" s="87">
        <f t="shared" si="74"/>
        <v>433.5</v>
      </c>
      <c r="I530" s="14">
        <f t="shared" si="72"/>
        <v>0.10000000000002274</v>
      </c>
      <c r="J530" s="77">
        <f t="shared" si="73"/>
        <v>99.97693726937268</v>
      </c>
    </row>
    <row r="531" spans="1:10" ht="25.5">
      <c r="A531" s="46" t="s">
        <v>114</v>
      </c>
      <c r="B531" s="12" t="s">
        <v>562</v>
      </c>
      <c r="C531" s="13" t="s">
        <v>69</v>
      </c>
      <c r="D531" s="13" t="s">
        <v>66</v>
      </c>
      <c r="E531" s="45" t="s">
        <v>454</v>
      </c>
      <c r="F531" s="13" t="s">
        <v>115</v>
      </c>
      <c r="G531" s="14">
        <f t="shared" si="74"/>
        <v>433.6</v>
      </c>
      <c r="H531" s="87">
        <f t="shared" si="74"/>
        <v>433.5</v>
      </c>
      <c r="I531" s="14">
        <f t="shared" si="72"/>
        <v>0.10000000000002274</v>
      </c>
      <c r="J531" s="77">
        <f t="shared" si="73"/>
        <v>99.97693726937268</v>
      </c>
    </row>
    <row r="532" spans="1:10" ht="12.75">
      <c r="A532" s="46" t="s">
        <v>120</v>
      </c>
      <c r="B532" s="12" t="s">
        <v>562</v>
      </c>
      <c r="C532" s="13" t="s">
        <v>69</v>
      </c>
      <c r="D532" s="13" t="s">
        <v>66</v>
      </c>
      <c r="E532" s="45" t="s">
        <v>454</v>
      </c>
      <c r="F532" s="13" t="s">
        <v>121</v>
      </c>
      <c r="G532" s="14">
        <f t="shared" si="74"/>
        <v>433.6</v>
      </c>
      <c r="H532" s="87">
        <f t="shared" si="74"/>
        <v>433.5</v>
      </c>
      <c r="I532" s="14">
        <f t="shared" si="72"/>
        <v>0.10000000000002274</v>
      </c>
      <c r="J532" s="77">
        <f t="shared" si="73"/>
        <v>99.97693726937268</v>
      </c>
    </row>
    <row r="533" spans="1:10" ht="12.75">
      <c r="A533" s="46" t="s">
        <v>124</v>
      </c>
      <c r="B533" s="12" t="s">
        <v>562</v>
      </c>
      <c r="C533" s="13" t="s">
        <v>69</v>
      </c>
      <c r="D533" s="13" t="s">
        <v>66</v>
      </c>
      <c r="E533" s="45" t="s">
        <v>454</v>
      </c>
      <c r="F533" s="13" t="s">
        <v>125</v>
      </c>
      <c r="G533" s="14">
        <v>433.6</v>
      </c>
      <c r="H533" s="87">
        <v>433.5</v>
      </c>
      <c r="I533" s="14">
        <f t="shared" si="72"/>
        <v>0.10000000000002274</v>
      </c>
      <c r="J533" s="77">
        <f t="shared" si="73"/>
        <v>99.97693726937268</v>
      </c>
    </row>
    <row r="534" spans="1:10" ht="15.75" customHeight="1">
      <c r="A534" s="46" t="s">
        <v>384</v>
      </c>
      <c r="B534" s="12" t="s">
        <v>562</v>
      </c>
      <c r="C534" s="13" t="s">
        <v>69</v>
      </c>
      <c r="D534" s="13" t="s">
        <v>66</v>
      </c>
      <c r="E534" s="45" t="s">
        <v>455</v>
      </c>
      <c r="F534" s="13"/>
      <c r="G534" s="14">
        <f aca="true" t="shared" si="75" ref="G534:H536">G535</f>
        <v>125.9</v>
      </c>
      <c r="H534" s="87">
        <f t="shared" si="75"/>
        <v>125.9</v>
      </c>
      <c r="I534" s="14">
        <f t="shared" si="72"/>
        <v>0</v>
      </c>
      <c r="J534" s="77">
        <f t="shared" si="73"/>
        <v>100</v>
      </c>
    </row>
    <row r="535" spans="1:10" ht="25.5">
      <c r="A535" s="46" t="s">
        <v>114</v>
      </c>
      <c r="B535" s="12" t="s">
        <v>562</v>
      </c>
      <c r="C535" s="13" t="s">
        <v>69</v>
      </c>
      <c r="D535" s="13" t="s">
        <v>66</v>
      </c>
      <c r="E535" s="45" t="s">
        <v>455</v>
      </c>
      <c r="F535" s="13" t="s">
        <v>115</v>
      </c>
      <c r="G535" s="14">
        <f t="shared" si="75"/>
        <v>125.9</v>
      </c>
      <c r="H535" s="87">
        <f t="shared" si="75"/>
        <v>125.9</v>
      </c>
      <c r="I535" s="14">
        <f t="shared" si="72"/>
        <v>0</v>
      </c>
      <c r="J535" s="77">
        <f t="shared" si="73"/>
        <v>100</v>
      </c>
    </row>
    <row r="536" spans="1:10" ht="12.75">
      <c r="A536" s="46" t="s">
        <v>120</v>
      </c>
      <c r="B536" s="12" t="s">
        <v>562</v>
      </c>
      <c r="C536" s="13" t="s">
        <v>69</v>
      </c>
      <c r="D536" s="13" t="s">
        <v>66</v>
      </c>
      <c r="E536" s="45" t="s">
        <v>455</v>
      </c>
      <c r="F536" s="13" t="s">
        <v>121</v>
      </c>
      <c r="G536" s="14">
        <f t="shared" si="75"/>
        <v>125.9</v>
      </c>
      <c r="H536" s="87">
        <f t="shared" si="75"/>
        <v>125.9</v>
      </c>
      <c r="I536" s="14">
        <f t="shared" si="72"/>
        <v>0</v>
      </c>
      <c r="J536" s="77">
        <f t="shared" si="73"/>
        <v>100</v>
      </c>
    </row>
    <row r="537" spans="1:10" ht="12.75">
      <c r="A537" s="46" t="s">
        <v>124</v>
      </c>
      <c r="B537" s="12" t="s">
        <v>562</v>
      </c>
      <c r="C537" s="13" t="s">
        <v>69</v>
      </c>
      <c r="D537" s="13" t="s">
        <v>66</v>
      </c>
      <c r="E537" s="45" t="s">
        <v>455</v>
      </c>
      <c r="F537" s="13" t="s">
        <v>125</v>
      </c>
      <c r="G537" s="14">
        <v>125.9</v>
      </c>
      <c r="H537" s="87">
        <v>125.9</v>
      </c>
      <c r="I537" s="14">
        <f t="shared" si="72"/>
        <v>0</v>
      </c>
      <c r="J537" s="77">
        <f t="shared" si="73"/>
        <v>100</v>
      </c>
    </row>
    <row r="538" spans="1:10" ht="25.5">
      <c r="A538" s="46" t="s">
        <v>207</v>
      </c>
      <c r="B538" s="12" t="s">
        <v>562</v>
      </c>
      <c r="C538" s="13" t="s">
        <v>69</v>
      </c>
      <c r="D538" s="13" t="s">
        <v>66</v>
      </c>
      <c r="E538" s="45" t="s">
        <v>456</v>
      </c>
      <c r="F538" s="13"/>
      <c r="G538" s="14">
        <f aca="true" t="shared" si="76" ref="G538:H540">G539</f>
        <v>17.2</v>
      </c>
      <c r="H538" s="87">
        <f t="shared" si="76"/>
        <v>17.1</v>
      </c>
      <c r="I538" s="14">
        <f t="shared" si="72"/>
        <v>0.09999999999999787</v>
      </c>
      <c r="J538" s="77">
        <f t="shared" si="73"/>
        <v>99.4186046511628</v>
      </c>
    </row>
    <row r="539" spans="1:10" ht="25.5">
      <c r="A539" s="46" t="s">
        <v>114</v>
      </c>
      <c r="B539" s="12" t="s">
        <v>562</v>
      </c>
      <c r="C539" s="13" t="s">
        <v>69</v>
      </c>
      <c r="D539" s="13" t="s">
        <v>66</v>
      </c>
      <c r="E539" s="45" t="s">
        <v>456</v>
      </c>
      <c r="F539" s="13" t="s">
        <v>115</v>
      </c>
      <c r="G539" s="14">
        <f t="shared" si="76"/>
        <v>17.2</v>
      </c>
      <c r="H539" s="87">
        <f t="shared" si="76"/>
        <v>17.1</v>
      </c>
      <c r="I539" s="14">
        <f t="shared" si="72"/>
        <v>0.09999999999999787</v>
      </c>
      <c r="J539" s="77">
        <f t="shared" si="73"/>
        <v>99.4186046511628</v>
      </c>
    </row>
    <row r="540" spans="1:10" ht="12.75">
      <c r="A540" s="46" t="s">
        <v>120</v>
      </c>
      <c r="B540" s="12" t="s">
        <v>562</v>
      </c>
      <c r="C540" s="13" t="s">
        <v>69</v>
      </c>
      <c r="D540" s="13" t="s">
        <v>66</v>
      </c>
      <c r="E540" s="45" t="s">
        <v>456</v>
      </c>
      <c r="F540" s="13" t="s">
        <v>121</v>
      </c>
      <c r="G540" s="14">
        <f t="shared" si="76"/>
        <v>17.2</v>
      </c>
      <c r="H540" s="87">
        <f t="shared" si="76"/>
        <v>17.1</v>
      </c>
      <c r="I540" s="14">
        <f t="shared" si="72"/>
        <v>0.09999999999999787</v>
      </c>
      <c r="J540" s="77">
        <f t="shared" si="73"/>
        <v>99.4186046511628</v>
      </c>
    </row>
    <row r="541" spans="1:10" ht="12.75">
      <c r="A541" s="46" t="s">
        <v>124</v>
      </c>
      <c r="B541" s="12" t="s">
        <v>562</v>
      </c>
      <c r="C541" s="13" t="s">
        <v>69</v>
      </c>
      <c r="D541" s="13" t="s">
        <v>66</v>
      </c>
      <c r="E541" s="45" t="s">
        <v>456</v>
      </c>
      <c r="F541" s="13" t="s">
        <v>125</v>
      </c>
      <c r="G541" s="14">
        <f>17.2-5.7+5.7</f>
        <v>17.2</v>
      </c>
      <c r="H541" s="87">
        <v>17.1</v>
      </c>
      <c r="I541" s="14">
        <f t="shared" si="72"/>
        <v>0.09999999999999787</v>
      </c>
      <c r="J541" s="77">
        <f t="shared" si="73"/>
        <v>99.4186046511628</v>
      </c>
    </row>
    <row r="542" spans="1:10" ht="12.75">
      <c r="A542" s="46" t="s">
        <v>503</v>
      </c>
      <c r="B542" s="12" t="s">
        <v>562</v>
      </c>
      <c r="C542" s="13" t="s">
        <v>69</v>
      </c>
      <c r="D542" s="13" t="s">
        <v>66</v>
      </c>
      <c r="E542" s="13" t="s">
        <v>252</v>
      </c>
      <c r="F542" s="13"/>
      <c r="G542" s="14">
        <f>G543</f>
        <v>1680</v>
      </c>
      <c r="H542" s="87">
        <f>H543</f>
        <v>1558</v>
      </c>
      <c r="I542" s="14">
        <f t="shared" si="72"/>
        <v>122</v>
      </c>
      <c r="J542" s="77">
        <f t="shared" si="73"/>
        <v>92.73809523809524</v>
      </c>
    </row>
    <row r="543" spans="1:10" ht="12.75">
      <c r="A543" s="46" t="s">
        <v>504</v>
      </c>
      <c r="B543" s="12" t="s">
        <v>562</v>
      </c>
      <c r="C543" s="13" t="s">
        <v>69</v>
      </c>
      <c r="D543" s="13" t="s">
        <v>66</v>
      </c>
      <c r="E543" s="13" t="s">
        <v>501</v>
      </c>
      <c r="F543" s="13"/>
      <c r="G543" s="14">
        <f>G544+G548</f>
        <v>1680</v>
      </c>
      <c r="H543" s="87">
        <f>H544+H548</f>
        <v>1558</v>
      </c>
      <c r="I543" s="14">
        <f t="shared" si="72"/>
        <v>122</v>
      </c>
      <c r="J543" s="77">
        <f t="shared" si="73"/>
        <v>92.73809523809524</v>
      </c>
    </row>
    <row r="544" spans="1:10" ht="42.75" customHeight="1">
      <c r="A544" s="46" t="s">
        <v>381</v>
      </c>
      <c r="B544" s="12" t="s">
        <v>562</v>
      </c>
      <c r="C544" s="13" t="s">
        <v>69</v>
      </c>
      <c r="D544" s="13" t="s">
        <v>66</v>
      </c>
      <c r="E544" s="13" t="s">
        <v>502</v>
      </c>
      <c r="F544" s="13"/>
      <c r="G544" s="14">
        <f aca="true" t="shared" si="77" ref="G544:H546">G545</f>
        <v>1610</v>
      </c>
      <c r="H544" s="87">
        <f t="shared" si="77"/>
        <v>1502.4</v>
      </c>
      <c r="I544" s="14">
        <f t="shared" si="72"/>
        <v>107.59999999999991</v>
      </c>
      <c r="J544" s="77">
        <f t="shared" si="73"/>
        <v>93.3167701863354</v>
      </c>
    </row>
    <row r="545" spans="1:10" ht="25.5">
      <c r="A545" s="46" t="s">
        <v>114</v>
      </c>
      <c r="B545" s="12" t="s">
        <v>562</v>
      </c>
      <c r="C545" s="13" t="s">
        <v>69</v>
      </c>
      <c r="D545" s="13" t="s">
        <v>66</v>
      </c>
      <c r="E545" s="13" t="s">
        <v>502</v>
      </c>
      <c r="F545" s="13" t="s">
        <v>115</v>
      </c>
      <c r="G545" s="14">
        <f t="shared" si="77"/>
        <v>1610</v>
      </c>
      <c r="H545" s="87">
        <f t="shared" si="77"/>
        <v>1502.4</v>
      </c>
      <c r="I545" s="14">
        <f t="shared" si="72"/>
        <v>107.59999999999991</v>
      </c>
      <c r="J545" s="77">
        <f t="shared" si="73"/>
        <v>93.3167701863354</v>
      </c>
    </row>
    <row r="546" spans="1:10" ht="12.75">
      <c r="A546" s="46" t="s">
        <v>120</v>
      </c>
      <c r="B546" s="12" t="s">
        <v>562</v>
      </c>
      <c r="C546" s="13" t="s">
        <v>69</v>
      </c>
      <c r="D546" s="13" t="s">
        <v>66</v>
      </c>
      <c r="E546" s="13" t="s">
        <v>502</v>
      </c>
      <c r="F546" s="13" t="s">
        <v>121</v>
      </c>
      <c r="G546" s="14">
        <f t="shared" si="77"/>
        <v>1610</v>
      </c>
      <c r="H546" s="87">
        <f t="shared" si="77"/>
        <v>1502.4</v>
      </c>
      <c r="I546" s="14">
        <f t="shared" si="72"/>
        <v>107.59999999999991</v>
      </c>
      <c r="J546" s="77">
        <f t="shared" si="73"/>
        <v>93.3167701863354</v>
      </c>
    </row>
    <row r="547" spans="1:10" ht="12.75">
      <c r="A547" s="46" t="s">
        <v>124</v>
      </c>
      <c r="B547" s="12" t="s">
        <v>562</v>
      </c>
      <c r="C547" s="13" t="s">
        <v>69</v>
      </c>
      <c r="D547" s="13" t="s">
        <v>66</v>
      </c>
      <c r="E547" s="13" t="s">
        <v>502</v>
      </c>
      <c r="F547" s="13" t="s">
        <v>125</v>
      </c>
      <c r="G547" s="14">
        <f>2300-45-195-450</f>
        <v>1610</v>
      </c>
      <c r="H547" s="87">
        <v>1502.4</v>
      </c>
      <c r="I547" s="14">
        <f t="shared" si="72"/>
        <v>107.59999999999991</v>
      </c>
      <c r="J547" s="77">
        <f t="shared" si="73"/>
        <v>93.3167701863354</v>
      </c>
    </row>
    <row r="548" spans="1:10" ht="12.75">
      <c r="A548" s="46" t="s">
        <v>272</v>
      </c>
      <c r="B548" s="12" t="s">
        <v>562</v>
      </c>
      <c r="C548" s="13" t="s">
        <v>69</v>
      </c>
      <c r="D548" s="13" t="s">
        <v>66</v>
      </c>
      <c r="E548" s="13" t="s">
        <v>505</v>
      </c>
      <c r="F548" s="13"/>
      <c r="G548" s="14">
        <f aca="true" t="shared" si="78" ref="G548:H550">G549</f>
        <v>70</v>
      </c>
      <c r="H548" s="87">
        <f t="shared" si="78"/>
        <v>55.6</v>
      </c>
      <c r="I548" s="14">
        <f t="shared" si="72"/>
        <v>14.399999999999999</v>
      </c>
      <c r="J548" s="77">
        <f t="shared" si="73"/>
        <v>79.42857142857143</v>
      </c>
    </row>
    <row r="549" spans="1:10" ht="25.5">
      <c r="A549" s="46" t="s">
        <v>114</v>
      </c>
      <c r="B549" s="12" t="s">
        <v>562</v>
      </c>
      <c r="C549" s="13" t="s">
        <v>69</v>
      </c>
      <c r="D549" s="13" t="s">
        <v>66</v>
      </c>
      <c r="E549" s="13" t="s">
        <v>505</v>
      </c>
      <c r="F549" s="13" t="s">
        <v>115</v>
      </c>
      <c r="G549" s="14">
        <f t="shared" si="78"/>
        <v>70</v>
      </c>
      <c r="H549" s="87">
        <f t="shared" si="78"/>
        <v>55.6</v>
      </c>
      <c r="I549" s="14">
        <f t="shared" si="72"/>
        <v>14.399999999999999</v>
      </c>
      <c r="J549" s="77">
        <f t="shared" si="73"/>
        <v>79.42857142857143</v>
      </c>
    </row>
    <row r="550" spans="1:10" ht="12.75">
      <c r="A550" s="46" t="s">
        <v>120</v>
      </c>
      <c r="B550" s="12" t="s">
        <v>562</v>
      </c>
      <c r="C550" s="13" t="s">
        <v>69</v>
      </c>
      <c r="D550" s="13" t="s">
        <v>66</v>
      </c>
      <c r="E550" s="13" t="s">
        <v>505</v>
      </c>
      <c r="F550" s="13" t="s">
        <v>121</v>
      </c>
      <c r="G550" s="14">
        <f t="shared" si="78"/>
        <v>70</v>
      </c>
      <c r="H550" s="87">
        <f t="shared" si="78"/>
        <v>55.6</v>
      </c>
      <c r="I550" s="14">
        <f t="shared" si="72"/>
        <v>14.399999999999999</v>
      </c>
      <c r="J550" s="77">
        <f t="shared" si="73"/>
        <v>79.42857142857143</v>
      </c>
    </row>
    <row r="551" spans="1:10" ht="12.75">
      <c r="A551" s="46" t="s">
        <v>124</v>
      </c>
      <c r="B551" s="12" t="s">
        <v>562</v>
      </c>
      <c r="C551" s="13" t="s">
        <v>69</v>
      </c>
      <c r="D551" s="13" t="s">
        <v>66</v>
      </c>
      <c r="E551" s="13" t="s">
        <v>505</v>
      </c>
      <c r="F551" s="13" t="s">
        <v>125</v>
      </c>
      <c r="G551" s="14">
        <f>25+45</f>
        <v>70</v>
      </c>
      <c r="H551" s="87">
        <v>55.6</v>
      </c>
      <c r="I551" s="14">
        <f t="shared" si="72"/>
        <v>14.399999999999999</v>
      </c>
      <c r="J551" s="77">
        <f t="shared" si="73"/>
        <v>79.42857142857143</v>
      </c>
    </row>
    <row r="552" spans="1:10" ht="12.75">
      <c r="A552" s="46" t="s">
        <v>59</v>
      </c>
      <c r="B552" s="12" t="s">
        <v>562</v>
      </c>
      <c r="C552" s="13" t="s">
        <v>69</v>
      </c>
      <c r="D552" s="13" t="s">
        <v>66</v>
      </c>
      <c r="E552" s="13" t="s">
        <v>263</v>
      </c>
      <c r="F552" s="13"/>
      <c r="G552" s="14">
        <f aca="true" t="shared" si="79" ref="G552:H555">G553</f>
        <v>11240.5</v>
      </c>
      <c r="H552" s="87">
        <f t="shared" si="79"/>
        <v>10789.4</v>
      </c>
      <c r="I552" s="14">
        <f t="shared" si="72"/>
        <v>451.10000000000036</v>
      </c>
      <c r="J552" s="77">
        <f t="shared" si="73"/>
        <v>95.98683332591966</v>
      </c>
    </row>
    <row r="553" spans="1:10" ht="28.5" customHeight="1">
      <c r="A553" s="46" t="s">
        <v>289</v>
      </c>
      <c r="B553" s="12" t="s">
        <v>562</v>
      </c>
      <c r="C553" s="13" t="s">
        <v>69</v>
      </c>
      <c r="D553" s="13" t="s">
        <v>66</v>
      </c>
      <c r="E553" s="13" t="s">
        <v>512</v>
      </c>
      <c r="F553" s="13"/>
      <c r="G553" s="14">
        <f t="shared" si="79"/>
        <v>11240.5</v>
      </c>
      <c r="H553" s="87">
        <f t="shared" si="79"/>
        <v>10789.4</v>
      </c>
      <c r="I553" s="14">
        <f t="shared" si="72"/>
        <v>451.10000000000036</v>
      </c>
      <c r="J553" s="77">
        <f t="shared" si="73"/>
        <v>95.98683332591966</v>
      </c>
    </row>
    <row r="554" spans="1:10" ht="12.75">
      <c r="A554" s="46" t="s">
        <v>288</v>
      </c>
      <c r="B554" s="12" t="s">
        <v>562</v>
      </c>
      <c r="C554" s="13" t="s">
        <v>69</v>
      </c>
      <c r="D554" s="13" t="s">
        <v>66</v>
      </c>
      <c r="E554" s="13" t="s">
        <v>513</v>
      </c>
      <c r="F554" s="13"/>
      <c r="G554" s="14">
        <f t="shared" si="79"/>
        <v>11240.5</v>
      </c>
      <c r="H554" s="87">
        <f t="shared" si="79"/>
        <v>10789.4</v>
      </c>
      <c r="I554" s="14">
        <f t="shared" si="72"/>
        <v>451.10000000000036</v>
      </c>
      <c r="J554" s="77">
        <f t="shared" si="73"/>
        <v>95.98683332591966</v>
      </c>
    </row>
    <row r="555" spans="1:10" ht="25.5">
      <c r="A555" s="46" t="s">
        <v>114</v>
      </c>
      <c r="B555" s="12" t="s">
        <v>562</v>
      </c>
      <c r="C555" s="13" t="s">
        <v>69</v>
      </c>
      <c r="D555" s="13" t="s">
        <v>66</v>
      </c>
      <c r="E555" s="13" t="s">
        <v>513</v>
      </c>
      <c r="F555" s="13" t="s">
        <v>115</v>
      </c>
      <c r="G555" s="14">
        <f t="shared" si="79"/>
        <v>11240.5</v>
      </c>
      <c r="H555" s="87">
        <f t="shared" si="79"/>
        <v>10789.4</v>
      </c>
      <c r="I555" s="14">
        <f t="shared" si="72"/>
        <v>451.10000000000036</v>
      </c>
      <c r="J555" s="77">
        <f t="shared" si="73"/>
        <v>95.98683332591966</v>
      </c>
    </row>
    <row r="556" spans="1:10" ht="12.75">
      <c r="A556" s="46" t="s">
        <v>120</v>
      </c>
      <c r="B556" s="12" t="s">
        <v>562</v>
      </c>
      <c r="C556" s="13" t="s">
        <v>69</v>
      </c>
      <c r="D556" s="13" t="s">
        <v>66</v>
      </c>
      <c r="E556" s="13" t="s">
        <v>513</v>
      </c>
      <c r="F556" s="13" t="s">
        <v>121</v>
      </c>
      <c r="G556" s="14">
        <f>G557+G558</f>
        <v>11240.5</v>
      </c>
      <c r="H556" s="87">
        <f>H557+H558</f>
        <v>10789.4</v>
      </c>
      <c r="I556" s="14">
        <f t="shared" si="72"/>
        <v>451.10000000000036</v>
      </c>
      <c r="J556" s="77">
        <f t="shared" si="73"/>
        <v>95.98683332591966</v>
      </c>
    </row>
    <row r="557" spans="1:10" ht="38.25">
      <c r="A557" s="46" t="s">
        <v>122</v>
      </c>
      <c r="B557" s="12" t="s">
        <v>562</v>
      </c>
      <c r="C557" s="13" t="s">
        <v>69</v>
      </c>
      <c r="D557" s="13" t="s">
        <v>66</v>
      </c>
      <c r="E557" s="13" t="s">
        <v>513</v>
      </c>
      <c r="F557" s="13" t="s">
        <v>123</v>
      </c>
      <c r="G557" s="14">
        <f>10871.5-500</f>
        <v>10371.5</v>
      </c>
      <c r="H557" s="87">
        <v>9920.4</v>
      </c>
      <c r="I557" s="14">
        <f t="shared" si="72"/>
        <v>451.10000000000036</v>
      </c>
      <c r="J557" s="77">
        <f t="shared" si="73"/>
        <v>95.6505809188642</v>
      </c>
    </row>
    <row r="558" spans="1:10" ht="12.75">
      <c r="A558" s="46" t="s">
        <v>124</v>
      </c>
      <c r="B558" s="12" t="s">
        <v>562</v>
      </c>
      <c r="C558" s="13" t="s">
        <v>69</v>
      </c>
      <c r="D558" s="13" t="s">
        <v>66</v>
      </c>
      <c r="E558" s="13" t="s">
        <v>513</v>
      </c>
      <c r="F558" s="13" t="s">
        <v>125</v>
      </c>
      <c r="G558" s="14">
        <f>789+350-270</f>
        <v>869</v>
      </c>
      <c r="H558" s="87">
        <v>869</v>
      </c>
      <c r="I558" s="14">
        <f t="shared" si="72"/>
        <v>0</v>
      </c>
      <c r="J558" s="77">
        <f t="shared" si="73"/>
        <v>100</v>
      </c>
    </row>
    <row r="559" spans="1:10" ht="12.75">
      <c r="A559" s="60" t="s">
        <v>10</v>
      </c>
      <c r="B559" s="37" t="s">
        <v>562</v>
      </c>
      <c r="C559" s="29" t="s">
        <v>69</v>
      </c>
      <c r="D559" s="29" t="s">
        <v>67</v>
      </c>
      <c r="E559" s="29"/>
      <c r="F559" s="29"/>
      <c r="G559" s="30">
        <f>G560+G599+G621+G639+G657+G667+G674</f>
        <v>177922.69999999998</v>
      </c>
      <c r="H559" s="105">
        <f>H560+H599+H621+H639+H657+H667+H674</f>
        <v>173396.40000000002</v>
      </c>
      <c r="I559" s="30">
        <f t="shared" si="72"/>
        <v>4526.299999999959</v>
      </c>
      <c r="J559" s="82">
        <f t="shared" si="73"/>
        <v>97.45603006249345</v>
      </c>
    </row>
    <row r="560" spans="1:10" ht="25.5">
      <c r="A560" s="46" t="s">
        <v>309</v>
      </c>
      <c r="B560" s="12" t="s">
        <v>562</v>
      </c>
      <c r="C560" s="13" t="s">
        <v>69</v>
      </c>
      <c r="D560" s="13" t="s">
        <v>67</v>
      </c>
      <c r="E560" s="13" t="s">
        <v>310</v>
      </c>
      <c r="F560" s="29"/>
      <c r="G560" s="14">
        <f>G561+G577+G571</f>
        <v>117740.6</v>
      </c>
      <c r="H560" s="87">
        <f>H561+H577+H571</f>
        <v>115737.60000000002</v>
      </c>
      <c r="I560" s="14">
        <f t="shared" si="72"/>
        <v>2002.9999999999854</v>
      </c>
      <c r="J560" s="77">
        <f t="shared" si="73"/>
        <v>98.29880262203523</v>
      </c>
    </row>
    <row r="561" spans="1:10" ht="24.75" customHeight="1">
      <c r="A561" s="46" t="s">
        <v>164</v>
      </c>
      <c r="B561" s="12" t="s">
        <v>562</v>
      </c>
      <c r="C561" s="13" t="s">
        <v>69</v>
      </c>
      <c r="D561" s="13" t="s">
        <v>67</v>
      </c>
      <c r="E561" s="13" t="s">
        <v>335</v>
      </c>
      <c r="F561" s="29"/>
      <c r="G561" s="14">
        <f>G562</f>
        <v>2392.4</v>
      </c>
      <c r="H561" s="87">
        <f>H562</f>
        <v>1580</v>
      </c>
      <c r="I561" s="14">
        <f t="shared" si="72"/>
        <v>812.4000000000001</v>
      </c>
      <c r="J561" s="77">
        <f t="shared" si="73"/>
        <v>66.0424678147467</v>
      </c>
    </row>
    <row r="562" spans="1:10" ht="27" customHeight="1">
      <c r="A562" s="46" t="s">
        <v>336</v>
      </c>
      <c r="B562" s="12" t="s">
        <v>562</v>
      </c>
      <c r="C562" s="13" t="s">
        <v>69</v>
      </c>
      <c r="D562" s="13" t="s">
        <v>67</v>
      </c>
      <c r="E562" s="13" t="s">
        <v>337</v>
      </c>
      <c r="F562" s="29"/>
      <c r="G562" s="14">
        <f>G567+G563</f>
        <v>2392.4</v>
      </c>
      <c r="H562" s="87">
        <f>H567+H563</f>
        <v>1580</v>
      </c>
      <c r="I562" s="14">
        <f t="shared" si="72"/>
        <v>812.4000000000001</v>
      </c>
      <c r="J562" s="77">
        <f t="shared" si="73"/>
        <v>66.0424678147467</v>
      </c>
    </row>
    <row r="563" spans="1:10" ht="27" customHeight="1">
      <c r="A563" s="46" t="s">
        <v>391</v>
      </c>
      <c r="B563" s="12" t="s">
        <v>562</v>
      </c>
      <c r="C563" s="13" t="s">
        <v>69</v>
      </c>
      <c r="D563" s="13" t="s">
        <v>67</v>
      </c>
      <c r="E563" s="13" t="s">
        <v>568</v>
      </c>
      <c r="F563" s="29"/>
      <c r="G563" s="14">
        <f aca="true" t="shared" si="80" ref="G563:H565">G564</f>
        <v>680</v>
      </c>
      <c r="H563" s="87">
        <f t="shared" si="80"/>
        <v>400</v>
      </c>
      <c r="I563" s="14">
        <f t="shared" si="72"/>
        <v>280</v>
      </c>
      <c r="J563" s="77">
        <f t="shared" si="73"/>
        <v>58.82352941176471</v>
      </c>
    </row>
    <row r="564" spans="1:10" ht="27" customHeight="1">
      <c r="A564" s="46" t="s">
        <v>114</v>
      </c>
      <c r="B564" s="12" t="s">
        <v>562</v>
      </c>
      <c r="C564" s="13" t="s">
        <v>69</v>
      </c>
      <c r="D564" s="13" t="s">
        <v>67</v>
      </c>
      <c r="E564" s="13" t="s">
        <v>568</v>
      </c>
      <c r="F564" s="13" t="s">
        <v>115</v>
      </c>
      <c r="G564" s="14">
        <f t="shared" si="80"/>
        <v>680</v>
      </c>
      <c r="H564" s="87">
        <f t="shared" si="80"/>
        <v>400</v>
      </c>
      <c r="I564" s="14">
        <f t="shared" si="72"/>
        <v>280</v>
      </c>
      <c r="J564" s="77">
        <f t="shared" si="73"/>
        <v>58.82352941176471</v>
      </c>
    </row>
    <row r="565" spans="1:10" ht="15" customHeight="1">
      <c r="A565" s="46" t="s">
        <v>120</v>
      </c>
      <c r="B565" s="12" t="s">
        <v>562</v>
      </c>
      <c r="C565" s="13" t="s">
        <v>69</v>
      </c>
      <c r="D565" s="13" t="s">
        <v>67</v>
      </c>
      <c r="E565" s="13" t="s">
        <v>568</v>
      </c>
      <c r="F565" s="13" t="s">
        <v>121</v>
      </c>
      <c r="G565" s="14">
        <f t="shared" si="80"/>
        <v>680</v>
      </c>
      <c r="H565" s="87">
        <f t="shared" si="80"/>
        <v>400</v>
      </c>
      <c r="I565" s="14">
        <f t="shared" si="72"/>
        <v>280</v>
      </c>
      <c r="J565" s="77">
        <f t="shared" si="73"/>
        <v>58.82352941176471</v>
      </c>
    </row>
    <row r="566" spans="1:10" ht="16.5" customHeight="1">
      <c r="A566" s="46" t="s">
        <v>124</v>
      </c>
      <c r="B566" s="12" t="s">
        <v>562</v>
      </c>
      <c r="C566" s="13" t="s">
        <v>69</v>
      </c>
      <c r="D566" s="13" t="s">
        <v>67</v>
      </c>
      <c r="E566" s="13" t="s">
        <v>568</v>
      </c>
      <c r="F566" s="13" t="s">
        <v>125</v>
      </c>
      <c r="G566" s="14">
        <f>947.9-267.9</f>
        <v>680</v>
      </c>
      <c r="H566" s="87">
        <v>400</v>
      </c>
      <c r="I566" s="14">
        <f t="shared" si="72"/>
        <v>280</v>
      </c>
      <c r="J566" s="77">
        <f t="shared" si="73"/>
        <v>58.82352941176471</v>
      </c>
    </row>
    <row r="567" spans="1:10" ht="30" customHeight="1">
      <c r="A567" s="46" t="s">
        <v>396</v>
      </c>
      <c r="B567" s="12" t="s">
        <v>562</v>
      </c>
      <c r="C567" s="13" t="s">
        <v>69</v>
      </c>
      <c r="D567" s="13" t="s">
        <v>67</v>
      </c>
      <c r="E567" s="13" t="s">
        <v>338</v>
      </c>
      <c r="F567" s="29"/>
      <c r="G567" s="14">
        <f aca="true" t="shared" si="81" ref="G567:H569">G568</f>
        <v>1712.4</v>
      </c>
      <c r="H567" s="87">
        <f t="shared" si="81"/>
        <v>1180</v>
      </c>
      <c r="I567" s="14">
        <f t="shared" si="72"/>
        <v>532.4000000000001</v>
      </c>
      <c r="J567" s="77">
        <f t="shared" si="73"/>
        <v>68.90913338005139</v>
      </c>
    </row>
    <row r="568" spans="1:10" ht="25.5">
      <c r="A568" s="46" t="s">
        <v>114</v>
      </c>
      <c r="B568" s="12" t="s">
        <v>562</v>
      </c>
      <c r="C568" s="13" t="s">
        <v>69</v>
      </c>
      <c r="D568" s="13" t="s">
        <v>67</v>
      </c>
      <c r="E568" s="13" t="s">
        <v>338</v>
      </c>
      <c r="F568" s="13" t="s">
        <v>115</v>
      </c>
      <c r="G568" s="14">
        <f t="shared" si="81"/>
        <v>1712.4</v>
      </c>
      <c r="H568" s="87">
        <f t="shared" si="81"/>
        <v>1180</v>
      </c>
      <c r="I568" s="14">
        <f t="shared" si="72"/>
        <v>532.4000000000001</v>
      </c>
      <c r="J568" s="77">
        <f t="shared" si="73"/>
        <v>68.90913338005139</v>
      </c>
    </row>
    <row r="569" spans="1:10" ht="12.75">
      <c r="A569" s="46" t="s">
        <v>120</v>
      </c>
      <c r="B569" s="12" t="s">
        <v>562</v>
      </c>
      <c r="C569" s="13" t="s">
        <v>69</v>
      </c>
      <c r="D569" s="13" t="s">
        <v>67</v>
      </c>
      <c r="E569" s="13" t="s">
        <v>338</v>
      </c>
      <c r="F569" s="13" t="s">
        <v>121</v>
      </c>
      <c r="G569" s="14">
        <f t="shared" si="81"/>
        <v>1712.4</v>
      </c>
      <c r="H569" s="87">
        <f t="shared" si="81"/>
        <v>1180</v>
      </c>
      <c r="I569" s="14">
        <f t="shared" si="72"/>
        <v>532.4000000000001</v>
      </c>
      <c r="J569" s="77">
        <f t="shared" si="73"/>
        <v>68.90913338005139</v>
      </c>
    </row>
    <row r="570" spans="1:10" ht="12.75">
      <c r="A570" s="46" t="s">
        <v>124</v>
      </c>
      <c r="B570" s="12" t="s">
        <v>562</v>
      </c>
      <c r="C570" s="13" t="s">
        <v>69</v>
      </c>
      <c r="D570" s="13" t="s">
        <v>67</v>
      </c>
      <c r="E570" s="13" t="s">
        <v>338</v>
      </c>
      <c r="F570" s="13" t="s">
        <v>125</v>
      </c>
      <c r="G570" s="14">
        <f>1864.9-152.5</f>
        <v>1712.4</v>
      </c>
      <c r="H570" s="87">
        <v>1180</v>
      </c>
      <c r="I570" s="14">
        <f t="shared" si="72"/>
        <v>532.4000000000001</v>
      </c>
      <c r="J570" s="77">
        <f t="shared" si="73"/>
        <v>68.90913338005139</v>
      </c>
    </row>
    <row r="571" spans="1:10" ht="25.5">
      <c r="A571" s="46" t="s">
        <v>152</v>
      </c>
      <c r="B571" s="12" t="s">
        <v>562</v>
      </c>
      <c r="C571" s="13" t="s">
        <v>69</v>
      </c>
      <c r="D571" s="13" t="s">
        <v>67</v>
      </c>
      <c r="E571" s="13" t="s">
        <v>341</v>
      </c>
      <c r="F571" s="13"/>
      <c r="G571" s="14">
        <f aca="true" t="shared" si="82" ref="G571:H575">G572</f>
        <v>157.3</v>
      </c>
      <c r="H571" s="87">
        <f t="shared" si="82"/>
        <v>157.1</v>
      </c>
      <c r="I571" s="14">
        <f t="shared" si="72"/>
        <v>0.20000000000001705</v>
      </c>
      <c r="J571" s="77">
        <f t="shared" si="73"/>
        <v>99.87285441830895</v>
      </c>
    </row>
    <row r="572" spans="1:10" ht="25.5">
      <c r="A572" s="46" t="s">
        <v>400</v>
      </c>
      <c r="B572" s="12" t="s">
        <v>562</v>
      </c>
      <c r="C572" s="13" t="s">
        <v>69</v>
      </c>
      <c r="D572" s="13" t="s">
        <v>67</v>
      </c>
      <c r="E572" s="13" t="s">
        <v>399</v>
      </c>
      <c r="F572" s="13"/>
      <c r="G572" s="14">
        <f t="shared" si="82"/>
        <v>157.3</v>
      </c>
      <c r="H572" s="87">
        <f t="shared" si="82"/>
        <v>157.1</v>
      </c>
      <c r="I572" s="14">
        <f t="shared" si="72"/>
        <v>0.20000000000001705</v>
      </c>
      <c r="J572" s="77">
        <f t="shared" si="73"/>
        <v>99.87285441830895</v>
      </c>
    </row>
    <row r="573" spans="1:10" ht="25.5">
      <c r="A573" s="46" t="s">
        <v>401</v>
      </c>
      <c r="B573" s="12" t="s">
        <v>562</v>
      </c>
      <c r="C573" s="13" t="s">
        <v>69</v>
      </c>
      <c r="D573" s="13" t="s">
        <v>67</v>
      </c>
      <c r="E573" s="13" t="s">
        <v>402</v>
      </c>
      <c r="F573" s="13"/>
      <c r="G573" s="14">
        <f t="shared" si="82"/>
        <v>157.3</v>
      </c>
      <c r="H573" s="87">
        <f t="shared" si="82"/>
        <v>157.1</v>
      </c>
      <c r="I573" s="14">
        <f t="shared" si="72"/>
        <v>0.20000000000001705</v>
      </c>
      <c r="J573" s="77">
        <f t="shared" si="73"/>
        <v>99.87285441830895</v>
      </c>
    </row>
    <row r="574" spans="1:10" ht="25.5">
      <c r="A574" s="46" t="s">
        <v>114</v>
      </c>
      <c r="B574" s="12" t="s">
        <v>562</v>
      </c>
      <c r="C574" s="13" t="s">
        <v>69</v>
      </c>
      <c r="D574" s="13" t="s">
        <v>67</v>
      </c>
      <c r="E574" s="13" t="s">
        <v>402</v>
      </c>
      <c r="F574" s="13" t="s">
        <v>115</v>
      </c>
      <c r="G574" s="14">
        <f t="shared" si="82"/>
        <v>157.3</v>
      </c>
      <c r="H574" s="87">
        <f t="shared" si="82"/>
        <v>157.1</v>
      </c>
      <c r="I574" s="14">
        <f t="shared" si="72"/>
        <v>0.20000000000001705</v>
      </c>
      <c r="J574" s="77">
        <f t="shared" si="73"/>
        <v>99.87285441830895</v>
      </c>
    </row>
    <row r="575" spans="1:10" ht="12.75">
      <c r="A575" s="46" t="s">
        <v>120</v>
      </c>
      <c r="B575" s="12" t="s">
        <v>562</v>
      </c>
      <c r="C575" s="13" t="s">
        <v>69</v>
      </c>
      <c r="D575" s="13" t="s">
        <v>67</v>
      </c>
      <c r="E575" s="13" t="s">
        <v>402</v>
      </c>
      <c r="F575" s="13" t="s">
        <v>121</v>
      </c>
      <c r="G575" s="14">
        <f t="shared" si="82"/>
        <v>157.3</v>
      </c>
      <c r="H575" s="87">
        <f t="shared" si="82"/>
        <v>157.1</v>
      </c>
      <c r="I575" s="14">
        <f t="shared" si="72"/>
        <v>0.20000000000001705</v>
      </c>
      <c r="J575" s="77">
        <f t="shared" si="73"/>
        <v>99.87285441830895</v>
      </c>
    </row>
    <row r="576" spans="1:10" ht="12.75">
      <c r="A576" s="46" t="s">
        <v>124</v>
      </c>
      <c r="B576" s="12" t="s">
        <v>562</v>
      </c>
      <c r="C576" s="13" t="s">
        <v>69</v>
      </c>
      <c r="D576" s="13" t="s">
        <v>67</v>
      </c>
      <c r="E576" s="13" t="s">
        <v>402</v>
      </c>
      <c r="F576" s="13" t="s">
        <v>125</v>
      </c>
      <c r="G576" s="14">
        <v>157.3</v>
      </c>
      <c r="H576" s="87">
        <v>157.1</v>
      </c>
      <c r="I576" s="14">
        <f t="shared" si="72"/>
        <v>0.20000000000001705</v>
      </c>
      <c r="J576" s="77">
        <f t="shared" si="73"/>
        <v>99.87285441830895</v>
      </c>
    </row>
    <row r="577" spans="1:10" ht="25.5">
      <c r="A577" s="46" t="s">
        <v>163</v>
      </c>
      <c r="B577" s="12" t="s">
        <v>562</v>
      </c>
      <c r="C577" s="13" t="s">
        <v>69</v>
      </c>
      <c r="D577" s="13" t="s">
        <v>67</v>
      </c>
      <c r="E577" s="13" t="s">
        <v>311</v>
      </c>
      <c r="F577" s="13"/>
      <c r="G577" s="14">
        <f>G578</f>
        <v>115190.90000000001</v>
      </c>
      <c r="H577" s="87">
        <f>H578</f>
        <v>114000.50000000001</v>
      </c>
      <c r="I577" s="14">
        <f t="shared" si="72"/>
        <v>1190.3999999999942</v>
      </c>
      <c r="J577" s="77">
        <f t="shared" si="73"/>
        <v>98.96658503406086</v>
      </c>
    </row>
    <row r="578" spans="1:10" ht="12.75">
      <c r="A578" s="46" t="s">
        <v>312</v>
      </c>
      <c r="B578" s="12" t="s">
        <v>562</v>
      </c>
      <c r="C578" s="13" t="s">
        <v>69</v>
      </c>
      <c r="D578" s="13" t="s">
        <v>67</v>
      </c>
      <c r="E578" s="13" t="s">
        <v>313</v>
      </c>
      <c r="F578" s="13"/>
      <c r="G578" s="14">
        <f>G579+G583+G587+G591+G595</f>
        <v>115190.90000000001</v>
      </c>
      <c r="H578" s="87">
        <f>H579+H583+H587+H591+H595</f>
        <v>114000.50000000001</v>
      </c>
      <c r="I578" s="14">
        <f t="shared" si="72"/>
        <v>1190.3999999999942</v>
      </c>
      <c r="J578" s="77">
        <f t="shared" si="73"/>
        <v>98.96658503406086</v>
      </c>
    </row>
    <row r="579" spans="1:10" ht="38.25">
      <c r="A579" s="46" t="s">
        <v>397</v>
      </c>
      <c r="B579" s="12" t="s">
        <v>562</v>
      </c>
      <c r="C579" s="13" t="s">
        <v>69</v>
      </c>
      <c r="D579" s="13" t="s">
        <v>67</v>
      </c>
      <c r="E579" s="13" t="s">
        <v>339</v>
      </c>
      <c r="F579" s="13"/>
      <c r="G579" s="14">
        <f aca="true" t="shared" si="83" ref="G579:H581">G580</f>
        <v>104898.8</v>
      </c>
      <c r="H579" s="87">
        <f t="shared" si="83"/>
        <v>104748.8</v>
      </c>
      <c r="I579" s="14">
        <f t="shared" si="72"/>
        <v>150</v>
      </c>
      <c r="J579" s="77">
        <f t="shared" si="73"/>
        <v>99.8570050372359</v>
      </c>
    </row>
    <row r="580" spans="1:10" ht="25.5">
      <c r="A580" s="46" t="s">
        <v>114</v>
      </c>
      <c r="B580" s="12" t="s">
        <v>562</v>
      </c>
      <c r="C580" s="13" t="s">
        <v>69</v>
      </c>
      <c r="D580" s="13" t="s">
        <v>67</v>
      </c>
      <c r="E580" s="13" t="s">
        <v>339</v>
      </c>
      <c r="F580" s="13" t="s">
        <v>115</v>
      </c>
      <c r="G580" s="14">
        <f t="shared" si="83"/>
        <v>104898.8</v>
      </c>
      <c r="H580" s="87">
        <f t="shared" si="83"/>
        <v>104748.8</v>
      </c>
      <c r="I580" s="14">
        <f t="shared" si="72"/>
        <v>150</v>
      </c>
      <c r="J580" s="77">
        <f t="shared" si="73"/>
        <v>99.8570050372359</v>
      </c>
    </row>
    <row r="581" spans="1:10" ht="12.75">
      <c r="A581" s="46" t="s">
        <v>120</v>
      </c>
      <c r="B581" s="12" t="s">
        <v>562</v>
      </c>
      <c r="C581" s="13" t="s">
        <v>69</v>
      </c>
      <c r="D581" s="13" t="s">
        <v>67</v>
      </c>
      <c r="E581" s="13" t="s">
        <v>339</v>
      </c>
      <c r="F581" s="13" t="s">
        <v>121</v>
      </c>
      <c r="G581" s="14">
        <f t="shared" si="83"/>
        <v>104898.8</v>
      </c>
      <c r="H581" s="87">
        <f t="shared" si="83"/>
        <v>104748.8</v>
      </c>
      <c r="I581" s="14">
        <f t="shared" si="72"/>
        <v>150</v>
      </c>
      <c r="J581" s="77">
        <f t="shared" si="73"/>
        <v>99.8570050372359</v>
      </c>
    </row>
    <row r="582" spans="1:10" ht="38.25">
      <c r="A582" s="46" t="s">
        <v>122</v>
      </c>
      <c r="B582" s="12" t="s">
        <v>562</v>
      </c>
      <c r="C582" s="13" t="s">
        <v>69</v>
      </c>
      <c r="D582" s="13" t="s">
        <v>67</v>
      </c>
      <c r="E582" s="13" t="s">
        <v>339</v>
      </c>
      <c r="F582" s="13" t="s">
        <v>123</v>
      </c>
      <c r="G582" s="14">
        <f>103411.5+1487.3</f>
        <v>104898.8</v>
      </c>
      <c r="H582" s="87">
        <v>104748.8</v>
      </c>
      <c r="I582" s="14">
        <f t="shared" si="72"/>
        <v>150</v>
      </c>
      <c r="J582" s="77">
        <f t="shared" si="73"/>
        <v>99.8570050372359</v>
      </c>
    </row>
    <row r="583" spans="1:10" ht="38.25" customHeight="1">
      <c r="A583" s="46" t="s">
        <v>394</v>
      </c>
      <c r="B583" s="12" t="s">
        <v>562</v>
      </c>
      <c r="C583" s="13" t="s">
        <v>69</v>
      </c>
      <c r="D583" s="13" t="s">
        <v>67</v>
      </c>
      <c r="E583" s="13" t="s">
        <v>326</v>
      </c>
      <c r="F583" s="13"/>
      <c r="G583" s="14">
        <f aca="true" t="shared" si="84" ref="G583:H585">G584</f>
        <v>1543.6000000000001</v>
      </c>
      <c r="H583" s="87">
        <f t="shared" si="84"/>
        <v>1135.6</v>
      </c>
      <c r="I583" s="14">
        <f t="shared" si="72"/>
        <v>408.0000000000002</v>
      </c>
      <c r="J583" s="77">
        <f t="shared" si="73"/>
        <v>73.56828193832598</v>
      </c>
    </row>
    <row r="584" spans="1:10" ht="25.5">
      <c r="A584" s="46" t="s">
        <v>114</v>
      </c>
      <c r="B584" s="12" t="s">
        <v>562</v>
      </c>
      <c r="C584" s="13" t="s">
        <v>69</v>
      </c>
      <c r="D584" s="13" t="s">
        <v>67</v>
      </c>
      <c r="E584" s="13" t="s">
        <v>326</v>
      </c>
      <c r="F584" s="13" t="s">
        <v>115</v>
      </c>
      <c r="G584" s="14">
        <f t="shared" si="84"/>
        <v>1543.6000000000001</v>
      </c>
      <c r="H584" s="87">
        <f t="shared" si="84"/>
        <v>1135.6</v>
      </c>
      <c r="I584" s="14">
        <f t="shared" si="72"/>
        <v>408.0000000000002</v>
      </c>
      <c r="J584" s="77">
        <f t="shared" si="73"/>
        <v>73.56828193832598</v>
      </c>
    </row>
    <row r="585" spans="1:10" ht="12.75">
      <c r="A585" s="46" t="s">
        <v>120</v>
      </c>
      <c r="B585" s="12" t="s">
        <v>562</v>
      </c>
      <c r="C585" s="13" t="s">
        <v>69</v>
      </c>
      <c r="D585" s="13" t="s">
        <v>67</v>
      </c>
      <c r="E585" s="13" t="s">
        <v>326</v>
      </c>
      <c r="F585" s="13" t="s">
        <v>121</v>
      </c>
      <c r="G585" s="14">
        <f t="shared" si="84"/>
        <v>1543.6000000000001</v>
      </c>
      <c r="H585" s="87">
        <f t="shared" si="84"/>
        <v>1135.6</v>
      </c>
      <c r="I585" s="14">
        <f t="shared" si="72"/>
        <v>408.0000000000002</v>
      </c>
      <c r="J585" s="77">
        <f t="shared" si="73"/>
        <v>73.56828193832598</v>
      </c>
    </row>
    <row r="586" spans="1:10" ht="38.25">
      <c r="A586" s="46" t="s">
        <v>122</v>
      </c>
      <c r="B586" s="12" t="s">
        <v>562</v>
      </c>
      <c r="C586" s="13" t="s">
        <v>69</v>
      </c>
      <c r="D586" s="13" t="s">
        <v>67</v>
      </c>
      <c r="E586" s="13" t="s">
        <v>326</v>
      </c>
      <c r="F586" s="13" t="s">
        <v>123</v>
      </c>
      <c r="G586" s="14">
        <f>1502.7+190.9-150</f>
        <v>1543.6000000000001</v>
      </c>
      <c r="H586" s="87">
        <v>1135.6</v>
      </c>
      <c r="I586" s="14">
        <f aca="true" t="shared" si="85" ref="I586:I649">G586-H586</f>
        <v>408.0000000000002</v>
      </c>
      <c r="J586" s="77">
        <f aca="true" t="shared" si="86" ref="J586:J649">H586/G586*100</f>
        <v>73.56828193832598</v>
      </c>
    </row>
    <row r="587" spans="1:10" ht="51">
      <c r="A587" s="46" t="s">
        <v>570</v>
      </c>
      <c r="B587" s="12" t="s">
        <v>562</v>
      </c>
      <c r="C587" s="13" t="s">
        <v>69</v>
      </c>
      <c r="D587" s="13" t="s">
        <v>67</v>
      </c>
      <c r="E587" s="13" t="s">
        <v>327</v>
      </c>
      <c r="F587" s="13"/>
      <c r="G587" s="14">
        <f aca="true" t="shared" si="87" ref="G587:H589">G588</f>
        <v>3462.3</v>
      </c>
      <c r="H587" s="87">
        <f t="shared" si="87"/>
        <v>3300.8</v>
      </c>
      <c r="I587" s="14">
        <f t="shared" si="85"/>
        <v>161.5</v>
      </c>
      <c r="J587" s="77">
        <f t="shared" si="86"/>
        <v>95.33547064090344</v>
      </c>
    </row>
    <row r="588" spans="1:10" ht="25.5">
      <c r="A588" s="46" t="s">
        <v>114</v>
      </c>
      <c r="B588" s="12" t="s">
        <v>562</v>
      </c>
      <c r="C588" s="13" t="s">
        <v>69</v>
      </c>
      <c r="D588" s="13" t="s">
        <v>67</v>
      </c>
      <c r="E588" s="13" t="s">
        <v>327</v>
      </c>
      <c r="F588" s="13" t="s">
        <v>115</v>
      </c>
      <c r="G588" s="14">
        <f t="shared" si="87"/>
        <v>3462.3</v>
      </c>
      <c r="H588" s="87">
        <f t="shared" si="87"/>
        <v>3300.8</v>
      </c>
      <c r="I588" s="14">
        <f t="shared" si="85"/>
        <v>161.5</v>
      </c>
      <c r="J588" s="77">
        <f t="shared" si="86"/>
        <v>95.33547064090344</v>
      </c>
    </row>
    <row r="589" spans="1:10" ht="12.75">
      <c r="A589" s="46" t="s">
        <v>120</v>
      </c>
      <c r="B589" s="12" t="s">
        <v>562</v>
      </c>
      <c r="C589" s="13" t="s">
        <v>69</v>
      </c>
      <c r="D589" s="13" t="s">
        <v>67</v>
      </c>
      <c r="E589" s="13" t="s">
        <v>327</v>
      </c>
      <c r="F589" s="13" t="s">
        <v>121</v>
      </c>
      <c r="G589" s="14">
        <f t="shared" si="87"/>
        <v>3462.3</v>
      </c>
      <c r="H589" s="87">
        <f t="shared" si="87"/>
        <v>3300.8</v>
      </c>
      <c r="I589" s="14">
        <f t="shared" si="85"/>
        <v>161.5</v>
      </c>
      <c r="J589" s="77">
        <f t="shared" si="86"/>
        <v>95.33547064090344</v>
      </c>
    </row>
    <row r="590" spans="1:10" ht="38.25">
      <c r="A590" s="46" t="s">
        <v>122</v>
      </c>
      <c r="B590" s="12" t="s">
        <v>562</v>
      </c>
      <c r="C590" s="13" t="s">
        <v>69</v>
      </c>
      <c r="D590" s="13" t="s">
        <v>67</v>
      </c>
      <c r="E590" s="13" t="s">
        <v>327</v>
      </c>
      <c r="F590" s="13" t="s">
        <v>123</v>
      </c>
      <c r="G590" s="14">
        <f>3303.3+634.5-247-228.5</f>
        <v>3462.3</v>
      </c>
      <c r="H590" s="87">
        <v>3300.8</v>
      </c>
      <c r="I590" s="14">
        <f t="shared" si="85"/>
        <v>161.5</v>
      </c>
      <c r="J590" s="77">
        <f t="shared" si="86"/>
        <v>95.33547064090344</v>
      </c>
    </row>
    <row r="591" spans="1:10" ht="25.5">
      <c r="A591" s="46" t="s">
        <v>398</v>
      </c>
      <c r="B591" s="12" t="s">
        <v>562</v>
      </c>
      <c r="C591" s="13" t="s">
        <v>69</v>
      </c>
      <c r="D591" s="13" t="s">
        <v>67</v>
      </c>
      <c r="E591" s="13" t="s">
        <v>340</v>
      </c>
      <c r="F591" s="13"/>
      <c r="G591" s="14">
        <f aca="true" t="shared" si="88" ref="G591:H593">G592</f>
        <v>1146.8</v>
      </c>
      <c r="H591" s="87">
        <f t="shared" si="88"/>
        <v>1146.8</v>
      </c>
      <c r="I591" s="14">
        <f t="shared" si="85"/>
        <v>0</v>
      </c>
      <c r="J591" s="77">
        <f t="shared" si="86"/>
        <v>100</v>
      </c>
    </row>
    <row r="592" spans="1:10" ht="25.5">
      <c r="A592" s="46" t="s">
        <v>114</v>
      </c>
      <c r="B592" s="12" t="s">
        <v>562</v>
      </c>
      <c r="C592" s="13" t="s">
        <v>69</v>
      </c>
      <c r="D592" s="13" t="s">
        <v>67</v>
      </c>
      <c r="E592" s="13" t="s">
        <v>340</v>
      </c>
      <c r="F592" s="13" t="s">
        <v>115</v>
      </c>
      <c r="G592" s="14">
        <f t="shared" si="88"/>
        <v>1146.8</v>
      </c>
      <c r="H592" s="87">
        <f t="shared" si="88"/>
        <v>1146.8</v>
      </c>
      <c r="I592" s="14">
        <f t="shared" si="85"/>
        <v>0</v>
      </c>
      <c r="J592" s="77">
        <f t="shared" si="86"/>
        <v>100</v>
      </c>
    </row>
    <row r="593" spans="1:10" ht="12.75">
      <c r="A593" s="46" t="s">
        <v>120</v>
      </c>
      <c r="B593" s="12" t="s">
        <v>562</v>
      </c>
      <c r="C593" s="13" t="s">
        <v>69</v>
      </c>
      <c r="D593" s="13" t="s">
        <v>67</v>
      </c>
      <c r="E593" s="13" t="s">
        <v>340</v>
      </c>
      <c r="F593" s="13" t="s">
        <v>121</v>
      </c>
      <c r="G593" s="14">
        <f t="shared" si="88"/>
        <v>1146.8</v>
      </c>
      <c r="H593" s="87">
        <f t="shared" si="88"/>
        <v>1146.8</v>
      </c>
      <c r="I593" s="14">
        <f t="shared" si="85"/>
        <v>0</v>
      </c>
      <c r="J593" s="77">
        <f t="shared" si="86"/>
        <v>100</v>
      </c>
    </row>
    <row r="594" spans="1:10" ht="39" customHeight="1">
      <c r="A594" s="46" t="s">
        <v>122</v>
      </c>
      <c r="B594" s="12" t="s">
        <v>562</v>
      </c>
      <c r="C594" s="13" t="s">
        <v>69</v>
      </c>
      <c r="D594" s="13" t="s">
        <v>67</v>
      </c>
      <c r="E594" s="13" t="s">
        <v>340</v>
      </c>
      <c r="F594" s="13" t="s">
        <v>123</v>
      </c>
      <c r="G594" s="14">
        <v>1146.8</v>
      </c>
      <c r="H594" s="87">
        <v>1146.8</v>
      </c>
      <c r="I594" s="14">
        <f t="shared" si="85"/>
        <v>0</v>
      </c>
      <c r="J594" s="77">
        <f t="shared" si="86"/>
        <v>100</v>
      </c>
    </row>
    <row r="595" spans="1:10" ht="52.5" customHeight="1">
      <c r="A595" s="46" t="s">
        <v>571</v>
      </c>
      <c r="B595" s="12" t="s">
        <v>562</v>
      </c>
      <c r="C595" s="13" t="s">
        <v>69</v>
      </c>
      <c r="D595" s="13" t="s">
        <v>67</v>
      </c>
      <c r="E595" s="13" t="s">
        <v>330</v>
      </c>
      <c r="F595" s="13"/>
      <c r="G595" s="14">
        <f aca="true" t="shared" si="89" ref="G595:H597">G596</f>
        <v>4139.4</v>
      </c>
      <c r="H595" s="87">
        <f t="shared" si="89"/>
        <v>3668.5</v>
      </c>
      <c r="I595" s="14">
        <f t="shared" si="85"/>
        <v>470.89999999999964</v>
      </c>
      <c r="J595" s="77">
        <f t="shared" si="86"/>
        <v>88.62395516258395</v>
      </c>
    </row>
    <row r="596" spans="1:10" ht="27.75" customHeight="1">
      <c r="A596" s="46" t="s">
        <v>114</v>
      </c>
      <c r="B596" s="12" t="s">
        <v>562</v>
      </c>
      <c r="C596" s="13" t="s">
        <v>69</v>
      </c>
      <c r="D596" s="13" t="s">
        <v>67</v>
      </c>
      <c r="E596" s="13" t="s">
        <v>330</v>
      </c>
      <c r="F596" s="13" t="s">
        <v>115</v>
      </c>
      <c r="G596" s="14">
        <f t="shared" si="89"/>
        <v>4139.4</v>
      </c>
      <c r="H596" s="87">
        <f t="shared" si="89"/>
        <v>3668.5</v>
      </c>
      <c r="I596" s="14">
        <f t="shared" si="85"/>
        <v>470.89999999999964</v>
      </c>
      <c r="J596" s="77">
        <f t="shared" si="86"/>
        <v>88.62395516258395</v>
      </c>
    </row>
    <row r="597" spans="1:10" ht="18" customHeight="1">
      <c r="A597" s="46" t="s">
        <v>120</v>
      </c>
      <c r="B597" s="12" t="s">
        <v>562</v>
      </c>
      <c r="C597" s="13" t="s">
        <v>69</v>
      </c>
      <c r="D597" s="13" t="s">
        <v>67</v>
      </c>
      <c r="E597" s="13" t="s">
        <v>330</v>
      </c>
      <c r="F597" s="13" t="s">
        <v>121</v>
      </c>
      <c r="G597" s="14">
        <f t="shared" si="89"/>
        <v>4139.4</v>
      </c>
      <c r="H597" s="87">
        <f t="shared" si="89"/>
        <v>3668.5</v>
      </c>
      <c r="I597" s="14">
        <f t="shared" si="85"/>
        <v>470.89999999999964</v>
      </c>
      <c r="J597" s="77">
        <f t="shared" si="86"/>
        <v>88.62395516258395</v>
      </c>
    </row>
    <row r="598" spans="1:10" ht="21.75" customHeight="1">
      <c r="A598" s="46" t="s">
        <v>124</v>
      </c>
      <c r="B598" s="12" t="s">
        <v>562</v>
      </c>
      <c r="C598" s="13" t="s">
        <v>69</v>
      </c>
      <c r="D598" s="13" t="s">
        <v>67</v>
      </c>
      <c r="E598" s="13" t="s">
        <v>330</v>
      </c>
      <c r="F598" s="13" t="s">
        <v>125</v>
      </c>
      <c r="G598" s="14">
        <f>3390+749.4</f>
        <v>4139.4</v>
      </c>
      <c r="H598" s="87">
        <v>3668.5</v>
      </c>
      <c r="I598" s="14">
        <f t="shared" si="85"/>
        <v>470.89999999999964</v>
      </c>
      <c r="J598" s="77">
        <f t="shared" si="86"/>
        <v>88.62395516258395</v>
      </c>
    </row>
    <row r="599" spans="1:10" ht="25.5">
      <c r="A599" s="46" t="s">
        <v>359</v>
      </c>
      <c r="B599" s="12" t="s">
        <v>562</v>
      </c>
      <c r="C599" s="13" t="s">
        <v>69</v>
      </c>
      <c r="D599" s="12" t="s">
        <v>67</v>
      </c>
      <c r="E599" s="45" t="s">
        <v>202</v>
      </c>
      <c r="F599" s="13"/>
      <c r="G599" s="14">
        <f>G600</f>
        <v>1941.2</v>
      </c>
      <c r="H599" s="87">
        <f>H600</f>
        <v>771.2</v>
      </c>
      <c r="I599" s="14">
        <f t="shared" si="85"/>
        <v>1170</v>
      </c>
      <c r="J599" s="77">
        <f t="shared" si="86"/>
        <v>39.728003296929735</v>
      </c>
    </row>
    <row r="600" spans="1:10" ht="25.5">
      <c r="A600" s="46" t="s">
        <v>385</v>
      </c>
      <c r="B600" s="12" t="s">
        <v>562</v>
      </c>
      <c r="C600" s="13" t="s">
        <v>69</v>
      </c>
      <c r="D600" s="13" t="s">
        <v>67</v>
      </c>
      <c r="E600" s="45" t="s">
        <v>449</v>
      </c>
      <c r="F600" s="13"/>
      <c r="G600" s="14">
        <f>G609+G613+G617+G605+G601</f>
        <v>1941.2</v>
      </c>
      <c r="H600" s="87">
        <f>H609+H613+H617+H605+H601</f>
        <v>771.2</v>
      </c>
      <c r="I600" s="14">
        <f t="shared" si="85"/>
        <v>1170</v>
      </c>
      <c r="J600" s="77">
        <f t="shared" si="86"/>
        <v>39.728003296929735</v>
      </c>
    </row>
    <row r="601" spans="1:10" ht="25.5">
      <c r="A601" s="25" t="s">
        <v>729</v>
      </c>
      <c r="B601" s="12" t="s">
        <v>562</v>
      </c>
      <c r="C601" s="13" t="s">
        <v>69</v>
      </c>
      <c r="D601" s="13" t="s">
        <v>67</v>
      </c>
      <c r="E601" s="45" t="s">
        <v>730</v>
      </c>
      <c r="F601" s="13"/>
      <c r="G601" s="14">
        <f aca="true" t="shared" si="90" ref="G601:H603">G602</f>
        <v>1000</v>
      </c>
      <c r="H601" s="87">
        <f t="shared" si="90"/>
        <v>0</v>
      </c>
      <c r="I601" s="14">
        <f t="shared" si="85"/>
        <v>1000</v>
      </c>
      <c r="J601" s="77">
        <f t="shared" si="86"/>
        <v>0</v>
      </c>
    </row>
    <row r="602" spans="1:10" ht="25.5">
      <c r="A602" s="9" t="s">
        <v>114</v>
      </c>
      <c r="B602" s="12" t="s">
        <v>562</v>
      </c>
      <c r="C602" s="13" t="s">
        <v>69</v>
      </c>
      <c r="D602" s="13" t="s">
        <v>67</v>
      </c>
      <c r="E602" s="45" t="s">
        <v>730</v>
      </c>
      <c r="F602" s="13" t="s">
        <v>115</v>
      </c>
      <c r="G602" s="14">
        <f t="shared" si="90"/>
        <v>1000</v>
      </c>
      <c r="H602" s="87">
        <f t="shared" si="90"/>
        <v>0</v>
      </c>
      <c r="I602" s="14">
        <f t="shared" si="85"/>
        <v>1000</v>
      </c>
      <c r="J602" s="77">
        <f t="shared" si="86"/>
        <v>0</v>
      </c>
    </row>
    <row r="603" spans="1:10" ht="12.75">
      <c r="A603" s="9" t="s">
        <v>120</v>
      </c>
      <c r="B603" s="12" t="s">
        <v>562</v>
      </c>
      <c r="C603" s="13" t="s">
        <v>69</v>
      </c>
      <c r="D603" s="13" t="s">
        <v>67</v>
      </c>
      <c r="E603" s="45" t="s">
        <v>730</v>
      </c>
      <c r="F603" s="13" t="s">
        <v>121</v>
      </c>
      <c r="G603" s="14">
        <f t="shared" si="90"/>
        <v>1000</v>
      </c>
      <c r="H603" s="87">
        <f t="shared" si="90"/>
        <v>0</v>
      </c>
      <c r="I603" s="14">
        <f t="shared" si="85"/>
        <v>1000</v>
      </c>
      <c r="J603" s="77">
        <f t="shared" si="86"/>
        <v>0</v>
      </c>
    </row>
    <row r="604" spans="1:10" ht="12.75">
      <c r="A604" s="9" t="s">
        <v>124</v>
      </c>
      <c r="B604" s="12" t="s">
        <v>562</v>
      </c>
      <c r="C604" s="13" t="s">
        <v>69</v>
      </c>
      <c r="D604" s="13" t="s">
        <v>67</v>
      </c>
      <c r="E604" s="45" t="s">
        <v>730</v>
      </c>
      <c r="F604" s="13" t="s">
        <v>125</v>
      </c>
      <c r="G604" s="14">
        <v>1000</v>
      </c>
      <c r="H604" s="87">
        <v>0</v>
      </c>
      <c r="I604" s="14">
        <f t="shared" si="85"/>
        <v>1000</v>
      </c>
      <c r="J604" s="77">
        <f t="shared" si="86"/>
        <v>0</v>
      </c>
    </row>
    <row r="605" spans="1:10" ht="25.5">
      <c r="A605" s="25" t="s">
        <v>731</v>
      </c>
      <c r="B605" s="12" t="s">
        <v>562</v>
      </c>
      <c r="C605" s="13" t="s">
        <v>69</v>
      </c>
      <c r="D605" s="13" t="s">
        <v>67</v>
      </c>
      <c r="E605" s="45" t="s">
        <v>732</v>
      </c>
      <c r="F605" s="13"/>
      <c r="G605" s="14">
        <f aca="true" t="shared" si="91" ref="G605:H607">G606</f>
        <v>70</v>
      </c>
      <c r="H605" s="87">
        <f t="shared" si="91"/>
        <v>69.9</v>
      </c>
      <c r="I605" s="14">
        <f t="shared" si="85"/>
        <v>0.09999999999999432</v>
      </c>
      <c r="J605" s="77">
        <f t="shared" si="86"/>
        <v>99.85714285714286</v>
      </c>
    </row>
    <row r="606" spans="1:10" ht="25.5">
      <c r="A606" s="9" t="s">
        <v>114</v>
      </c>
      <c r="B606" s="12" t="s">
        <v>562</v>
      </c>
      <c r="C606" s="13" t="s">
        <v>69</v>
      </c>
      <c r="D606" s="13" t="s">
        <v>67</v>
      </c>
      <c r="E606" s="45" t="s">
        <v>732</v>
      </c>
      <c r="F606" s="13" t="s">
        <v>115</v>
      </c>
      <c r="G606" s="14">
        <f t="shared" si="91"/>
        <v>70</v>
      </c>
      <c r="H606" s="87">
        <f t="shared" si="91"/>
        <v>69.9</v>
      </c>
      <c r="I606" s="14">
        <f t="shared" si="85"/>
        <v>0.09999999999999432</v>
      </c>
      <c r="J606" s="77">
        <f t="shared" si="86"/>
        <v>99.85714285714286</v>
      </c>
    </row>
    <row r="607" spans="1:10" ht="12.75">
      <c r="A607" s="9" t="s">
        <v>120</v>
      </c>
      <c r="B607" s="12" t="s">
        <v>562</v>
      </c>
      <c r="C607" s="13" t="s">
        <v>69</v>
      </c>
      <c r="D607" s="13" t="s">
        <v>67</v>
      </c>
      <c r="E607" s="45" t="s">
        <v>732</v>
      </c>
      <c r="F607" s="13" t="s">
        <v>121</v>
      </c>
      <c r="G607" s="14">
        <f t="shared" si="91"/>
        <v>70</v>
      </c>
      <c r="H607" s="87">
        <f t="shared" si="91"/>
        <v>69.9</v>
      </c>
      <c r="I607" s="14">
        <f t="shared" si="85"/>
        <v>0.09999999999999432</v>
      </c>
      <c r="J607" s="77">
        <f t="shared" si="86"/>
        <v>99.85714285714286</v>
      </c>
    </row>
    <row r="608" spans="1:10" ht="12.75">
      <c r="A608" s="9" t="s">
        <v>124</v>
      </c>
      <c r="B608" s="12" t="s">
        <v>562</v>
      </c>
      <c r="C608" s="13" t="s">
        <v>69</v>
      </c>
      <c r="D608" s="13" t="s">
        <v>67</v>
      </c>
      <c r="E608" s="45" t="s">
        <v>732</v>
      </c>
      <c r="F608" s="13" t="s">
        <v>125</v>
      </c>
      <c r="G608" s="14">
        <f>1250.2-1180.2</f>
        <v>70</v>
      </c>
      <c r="H608" s="87">
        <v>69.9</v>
      </c>
      <c r="I608" s="14">
        <f t="shared" si="85"/>
        <v>0.09999999999999432</v>
      </c>
      <c r="J608" s="77">
        <f t="shared" si="86"/>
        <v>99.85714285714286</v>
      </c>
    </row>
    <row r="609" spans="1:10" ht="12.75">
      <c r="A609" s="46" t="s">
        <v>199</v>
      </c>
      <c r="B609" s="12" t="s">
        <v>562</v>
      </c>
      <c r="C609" s="13" t="s">
        <v>69</v>
      </c>
      <c r="D609" s="13" t="s">
        <v>67</v>
      </c>
      <c r="E609" s="45" t="s">
        <v>450</v>
      </c>
      <c r="F609" s="13"/>
      <c r="G609" s="14">
        <f aca="true" t="shared" si="92" ref="G609:H611">G610</f>
        <v>597</v>
      </c>
      <c r="H609" s="87">
        <f t="shared" si="92"/>
        <v>595.1</v>
      </c>
      <c r="I609" s="14">
        <f t="shared" si="85"/>
        <v>1.8999999999999773</v>
      </c>
      <c r="J609" s="77">
        <f t="shared" si="86"/>
        <v>99.6817420435511</v>
      </c>
    </row>
    <row r="610" spans="1:10" ht="25.5">
      <c r="A610" s="46" t="s">
        <v>114</v>
      </c>
      <c r="B610" s="12" t="s">
        <v>562</v>
      </c>
      <c r="C610" s="13" t="s">
        <v>69</v>
      </c>
      <c r="D610" s="13" t="s">
        <v>67</v>
      </c>
      <c r="E610" s="45" t="s">
        <v>450</v>
      </c>
      <c r="F610" s="13" t="s">
        <v>115</v>
      </c>
      <c r="G610" s="14">
        <f t="shared" si="92"/>
        <v>597</v>
      </c>
      <c r="H610" s="87">
        <f t="shared" si="92"/>
        <v>595.1</v>
      </c>
      <c r="I610" s="14">
        <f t="shared" si="85"/>
        <v>1.8999999999999773</v>
      </c>
      <c r="J610" s="77">
        <f t="shared" si="86"/>
        <v>99.6817420435511</v>
      </c>
    </row>
    <row r="611" spans="1:10" ht="12.75">
      <c r="A611" s="46" t="s">
        <v>120</v>
      </c>
      <c r="B611" s="12" t="s">
        <v>562</v>
      </c>
      <c r="C611" s="13" t="s">
        <v>69</v>
      </c>
      <c r="D611" s="13" t="s">
        <v>67</v>
      </c>
      <c r="E611" s="45" t="s">
        <v>450</v>
      </c>
      <c r="F611" s="13" t="s">
        <v>121</v>
      </c>
      <c r="G611" s="14">
        <f t="shared" si="92"/>
        <v>597</v>
      </c>
      <c r="H611" s="87">
        <f t="shared" si="92"/>
        <v>595.1</v>
      </c>
      <c r="I611" s="14">
        <f t="shared" si="85"/>
        <v>1.8999999999999773</v>
      </c>
      <c r="J611" s="77">
        <f t="shared" si="86"/>
        <v>99.6817420435511</v>
      </c>
    </row>
    <row r="612" spans="1:10" ht="12.75">
      <c r="A612" s="46" t="s">
        <v>124</v>
      </c>
      <c r="B612" s="12" t="s">
        <v>562</v>
      </c>
      <c r="C612" s="13" t="s">
        <v>69</v>
      </c>
      <c r="D612" s="13" t="s">
        <v>67</v>
      </c>
      <c r="E612" s="45" t="s">
        <v>450</v>
      </c>
      <c r="F612" s="13" t="s">
        <v>125</v>
      </c>
      <c r="G612" s="14">
        <f>506.4+141.6-51</f>
        <v>597</v>
      </c>
      <c r="H612" s="87">
        <v>595.1</v>
      </c>
      <c r="I612" s="14">
        <f t="shared" si="85"/>
        <v>1.8999999999999773</v>
      </c>
      <c r="J612" s="77">
        <f t="shared" si="86"/>
        <v>99.6817420435511</v>
      </c>
    </row>
    <row r="613" spans="1:10" ht="12.75">
      <c r="A613" s="46" t="s">
        <v>200</v>
      </c>
      <c r="B613" s="12" t="s">
        <v>562</v>
      </c>
      <c r="C613" s="13" t="s">
        <v>69</v>
      </c>
      <c r="D613" s="13" t="s">
        <v>67</v>
      </c>
      <c r="E613" s="45" t="s">
        <v>457</v>
      </c>
      <c r="F613" s="13"/>
      <c r="G613" s="14">
        <f aca="true" t="shared" si="93" ref="G613:H615">G614</f>
        <v>254.2</v>
      </c>
      <c r="H613" s="87">
        <f t="shared" si="93"/>
        <v>86.2</v>
      </c>
      <c r="I613" s="14">
        <f t="shared" si="85"/>
        <v>168</v>
      </c>
      <c r="J613" s="77">
        <f t="shared" si="86"/>
        <v>33.91030684500394</v>
      </c>
    </row>
    <row r="614" spans="1:10" ht="25.5">
      <c r="A614" s="46" t="s">
        <v>114</v>
      </c>
      <c r="B614" s="12" t="s">
        <v>562</v>
      </c>
      <c r="C614" s="13" t="s">
        <v>69</v>
      </c>
      <c r="D614" s="13" t="s">
        <v>67</v>
      </c>
      <c r="E614" s="45" t="s">
        <v>457</v>
      </c>
      <c r="F614" s="13" t="s">
        <v>115</v>
      </c>
      <c r="G614" s="14">
        <f t="shared" si="93"/>
        <v>254.2</v>
      </c>
      <c r="H614" s="87">
        <f t="shared" si="93"/>
        <v>86.2</v>
      </c>
      <c r="I614" s="14">
        <f t="shared" si="85"/>
        <v>168</v>
      </c>
      <c r="J614" s="77">
        <f t="shared" si="86"/>
        <v>33.91030684500394</v>
      </c>
    </row>
    <row r="615" spans="1:10" ht="12.75">
      <c r="A615" s="46" t="s">
        <v>120</v>
      </c>
      <c r="B615" s="12" t="s">
        <v>562</v>
      </c>
      <c r="C615" s="13" t="s">
        <v>69</v>
      </c>
      <c r="D615" s="13" t="s">
        <v>67</v>
      </c>
      <c r="E615" s="45" t="s">
        <v>457</v>
      </c>
      <c r="F615" s="13" t="s">
        <v>121</v>
      </c>
      <c r="G615" s="14">
        <f t="shared" si="93"/>
        <v>254.2</v>
      </c>
      <c r="H615" s="87">
        <f t="shared" si="93"/>
        <v>86.2</v>
      </c>
      <c r="I615" s="14">
        <f t="shared" si="85"/>
        <v>168</v>
      </c>
      <c r="J615" s="77">
        <f t="shared" si="86"/>
        <v>33.91030684500394</v>
      </c>
    </row>
    <row r="616" spans="1:10" ht="12.75">
      <c r="A616" s="46" t="s">
        <v>124</v>
      </c>
      <c r="B616" s="12" t="s">
        <v>562</v>
      </c>
      <c r="C616" s="13" t="s">
        <v>69</v>
      </c>
      <c r="D616" s="13" t="s">
        <v>67</v>
      </c>
      <c r="E616" s="45" t="s">
        <v>457</v>
      </c>
      <c r="F616" s="13" t="s">
        <v>125</v>
      </c>
      <c r="G616" s="14">
        <f>118.5+135.7</f>
        <v>254.2</v>
      </c>
      <c r="H616" s="87">
        <v>86.2</v>
      </c>
      <c r="I616" s="14">
        <f t="shared" si="85"/>
        <v>168</v>
      </c>
      <c r="J616" s="77">
        <f t="shared" si="86"/>
        <v>33.91030684500394</v>
      </c>
    </row>
    <row r="617" spans="1:10" ht="12.75">
      <c r="A617" s="46" t="s">
        <v>201</v>
      </c>
      <c r="B617" s="12" t="s">
        <v>562</v>
      </c>
      <c r="C617" s="13" t="s">
        <v>69</v>
      </c>
      <c r="D617" s="13" t="s">
        <v>67</v>
      </c>
      <c r="E617" s="45" t="s">
        <v>458</v>
      </c>
      <c r="F617" s="13"/>
      <c r="G617" s="14">
        <f aca="true" t="shared" si="94" ref="G617:H619">G618</f>
        <v>20</v>
      </c>
      <c r="H617" s="87">
        <f t="shared" si="94"/>
        <v>20</v>
      </c>
      <c r="I617" s="14">
        <f t="shared" si="85"/>
        <v>0</v>
      </c>
      <c r="J617" s="77">
        <f t="shared" si="86"/>
        <v>100</v>
      </c>
    </row>
    <row r="618" spans="1:10" ht="25.5">
      <c r="A618" s="46" t="s">
        <v>114</v>
      </c>
      <c r="B618" s="12" t="s">
        <v>562</v>
      </c>
      <c r="C618" s="13" t="s">
        <v>69</v>
      </c>
      <c r="D618" s="13" t="s">
        <v>67</v>
      </c>
      <c r="E618" s="45" t="s">
        <v>458</v>
      </c>
      <c r="F618" s="13" t="s">
        <v>115</v>
      </c>
      <c r="G618" s="14">
        <f t="shared" si="94"/>
        <v>20</v>
      </c>
      <c r="H618" s="87">
        <f t="shared" si="94"/>
        <v>20</v>
      </c>
      <c r="I618" s="14">
        <f t="shared" si="85"/>
        <v>0</v>
      </c>
      <c r="J618" s="77">
        <f t="shared" si="86"/>
        <v>100</v>
      </c>
    </row>
    <row r="619" spans="1:10" ht="12.75">
      <c r="A619" s="46" t="s">
        <v>120</v>
      </c>
      <c r="B619" s="12" t="s">
        <v>562</v>
      </c>
      <c r="C619" s="13" t="s">
        <v>69</v>
      </c>
      <c r="D619" s="13" t="s">
        <v>67</v>
      </c>
      <c r="E619" s="45" t="s">
        <v>458</v>
      </c>
      <c r="F619" s="13" t="s">
        <v>121</v>
      </c>
      <c r="G619" s="14">
        <f t="shared" si="94"/>
        <v>20</v>
      </c>
      <c r="H619" s="87">
        <f t="shared" si="94"/>
        <v>20</v>
      </c>
      <c r="I619" s="14">
        <f t="shared" si="85"/>
        <v>0</v>
      </c>
      <c r="J619" s="77">
        <f t="shared" si="86"/>
        <v>100</v>
      </c>
    </row>
    <row r="620" spans="1:10" ht="12.75">
      <c r="A620" s="46" t="s">
        <v>124</v>
      </c>
      <c r="B620" s="12" t="s">
        <v>562</v>
      </c>
      <c r="C620" s="13" t="s">
        <v>69</v>
      </c>
      <c r="D620" s="13" t="s">
        <v>67</v>
      </c>
      <c r="E620" s="45" t="s">
        <v>458</v>
      </c>
      <c r="F620" s="13" t="s">
        <v>125</v>
      </c>
      <c r="G620" s="14">
        <f>445-425</f>
        <v>20</v>
      </c>
      <c r="H620" s="87">
        <v>20</v>
      </c>
      <c r="I620" s="14">
        <f t="shared" si="85"/>
        <v>0</v>
      </c>
      <c r="J620" s="77">
        <f t="shared" si="86"/>
        <v>100</v>
      </c>
    </row>
    <row r="621" spans="1:10" ht="25.5">
      <c r="A621" s="46" t="s">
        <v>360</v>
      </c>
      <c r="B621" s="12" t="s">
        <v>562</v>
      </c>
      <c r="C621" s="12" t="s">
        <v>69</v>
      </c>
      <c r="D621" s="12" t="s">
        <v>67</v>
      </c>
      <c r="E621" s="45" t="s">
        <v>203</v>
      </c>
      <c r="F621" s="12"/>
      <c r="G621" s="14">
        <f>G622</f>
        <v>2915.7999999999997</v>
      </c>
      <c r="H621" s="87">
        <f>H622</f>
        <v>2402.6</v>
      </c>
      <c r="I621" s="14">
        <f t="shared" si="85"/>
        <v>513.1999999999998</v>
      </c>
      <c r="J621" s="77">
        <f t="shared" si="86"/>
        <v>82.39934151862268</v>
      </c>
    </row>
    <row r="622" spans="1:10" ht="25.5">
      <c r="A622" s="46" t="s">
        <v>354</v>
      </c>
      <c r="B622" s="12" t="s">
        <v>562</v>
      </c>
      <c r="C622" s="13" t="s">
        <v>69</v>
      </c>
      <c r="D622" s="13" t="s">
        <v>67</v>
      </c>
      <c r="E622" s="45" t="s">
        <v>451</v>
      </c>
      <c r="F622" s="13"/>
      <c r="G622" s="14">
        <f>G623+G627+G635+G631</f>
        <v>2915.7999999999997</v>
      </c>
      <c r="H622" s="87">
        <f>H623+H627+H635+H631</f>
        <v>2402.6</v>
      </c>
      <c r="I622" s="14">
        <f t="shared" si="85"/>
        <v>513.1999999999998</v>
      </c>
      <c r="J622" s="77">
        <f t="shared" si="86"/>
        <v>82.39934151862268</v>
      </c>
    </row>
    <row r="623" spans="1:10" ht="12.75">
      <c r="A623" s="46" t="s">
        <v>204</v>
      </c>
      <c r="B623" s="12" t="s">
        <v>562</v>
      </c>
      <c r="C623" s="13" t="s">
        <v>69</v>
      </c>
      <c r="D623" s="13" t="s">
        <v>67</v>
      </c>
      <c r="E623" s="45" t="s">
        <v>452</v>
      </c>
      <c r="F623" s="13"/>
      <c r="G623" s="14">
        <f aca="true" t="shared" si="95" ref="G623:H625">G624</f>
        <v>90.6</v>
      </c>
      <c r="H623" s="87">
        <f t="shared" si="95"/>
        <v>90.4</v>
      </c>
      <c r="I623" s="14">
        <f t="shared" si="85"/>
        <v>0.19999999999998863</v>
      </c>
      <c r="J623" s="77">
        <f t="shared" si="86"/>
        <v>99.77924944812364</v>
      </c>
    </row>
    <row r="624" spans="1:10" ht="25.5">
      <c r="A624" s="46" t="s">
        <v>114</v>
      </c>
      <c r="B624" s="12" t="s">
        <v>562</v>
      </c>
      <c r="C624" s="13" t="s">
        <v>69</v>
      </c>
      <c r="D624" s="13" t="s">
        <v>67</v>
      </c>
      <c r="E624" s="45" t="s">
        <v>452</v>
      </c>
      <c r="F624" s="13" t="s">
        <v>115</v>
      </c>
      <c r="G624" s="14">
        <f t="shared" si="95"/>
        <v>90.6</v>
      </c>
      <c r="H624" s="87">
        <f t="shared" si="95"/>
        <v>90.4</v>
      </c>
      <c r="I624" s="14">
        <f t="shared" si="85"/>
        <v>0.19999999999998863</v>
      </c>
      <c r="J624" s="77">
        <f t="shared" si="86"/>
        <v>99.77924944812364</v>
      </c>
    </row>
    <row r="625" spans="1:10" ht="12.75">
      <c r="A625" s="46" t="s">
        <v>120</v>
      </c>
      <c r="B625" s="12" t="s">
        <v>562</v>
      </c>
      <c r="C625" s="13" t="s">
        <v>69</v>
      </c>
      <c r="D625" s="13" t="s">
        <v>67</v>
      </c>
      <c r="E625" s="45" t="s">
        <v>452</v>
      </c>
      <c r="F625" s="13" t="s">
        <v>121</v>
      </c>
      <c r="G625" s="14">
        <f t="shared" si="95"/>
        <v>90.6</v>
      </c>
      <c r="H625" s="87">
        <f t="shared" si="95"/>
        <v>90.4</v>
      </c>
      <c r="I625" s="14">
        <f t="shared" si="85"/>
        <v>0.19999999999998863</v>
      </c>
      <c r="J625" s="77">
        <f t="shared" si="86"/>
        <v>99.77924944812364</v>
      </c>
    </row>
    <row r="626" spans="1:10" ht="12.75">
      <c r="A626" s="46" t="s">
        <v>124</v>
      </c>
      <c r="B626" s="12" t="s">
        <v>562</v>
      </c>
      <c r="C626" s="13" t="s">
        <v>69</v>
      </c>
      <c r="D626" s="13" t="s">
        <v>67</v>
      </c>
      <c r="E626" s="45" t="s">
        <v>452</v>
      </c>
      <c r="F626" s="13" t="s">
        <v>125</v>
      </c>
      <c r="G626" s="14">
        <f>118.1-27.5</f>
        <v>90.6</v>
      </c>
      <c r="H626" s="87">
        <v>90.4</v>
      </c>
      <c r="I626" s="14">
        <f t="shared" si="85"/>
        <v>0.19999999999998863</v>
      </c>
      <c r="J626" s="77">
        <f t="shared" si="86"/>
        <v>99.77924944812364</v>
      </c>
    </row>
    <row r="627" spans="1:10" ht="12.75">
      <c r="A627" s="46" t="s">
        <v>212</v>
      </c>
      <c r="B627" s="12" t="s">
        <v>562</v>
      </c>
      <c r="C627" s="13" t="s">
        <v>69</v>
      </c>
      <c r="D627" s="13" t="s">
        <v>67</v>
      </c>
      <c r="E627" s="45" t="s">
        <v>459</v>
      </c>
      <c r="F627" s="13"/>
      <c r="G627" s="14">
        <f aca="true" t="shared" si="96" ref="G627:H629">G628</f>
        <v>2018</v>
      </c>
      <c r="H627" s="87">
        <f t="shared" si="96"/>
        <v>1974.4</v>
      </c>
      <c r="I627" s="14">
        <f t="shared" si="85"/>
        <v>43.59999999999991</v>
      </c>
      <c r="J627" s="77">
        <f t="shared" si="86"/>
        <v>97.8394449950446</v>
      </c>
    </row>
    <row r="628" spans="1:10" ht="25.5">
      <c r="A628" s="46" t="s">
        <v>114</v>
      </c>
      <c r="B628" s="12" t="s">
        <v>562</v>
      </c>
      <c r="C628" s="13" t="s">
        <v>69</v>
      </c>
      <c r="D628" s="13" t="s">
        <v>67</v>
      </c>
      <c r="E628" s="45" t="s">
        <v>459</v>
      </c>
      <c r="F628" s="13" t="s">
        <v>115</v>
      </c>
      <c r="G628" s="14">
        <f t="shared" si="96"/>
        <v>2018</v>
      </c>
      <c r="H628" s="87">
        <f t="shared" si="96"/>
        <v>1974.4</v>
      </c>
      <c r="I628" s="14">
        <f t="shared" si="85"/>
        <v>43.59999999999991</v>
      </c>
      <c r="J628" s="77">
        <f t="shared" si="86"/>
        <v>97.8394449950446</v>
      </c>
    </row>
    <row r="629" spans="1:10" ht="12.75">
      <c r="A629" s="46" t="s">
        <v>120</v>
      </c>
      <c r="B629" s="12" t="s">
        <v>562</v>
      </c>
      <c r="C629" s="13" t="s">
        <v>69</v>
      </c>
      <c r="D629" s="13" t="s">
        <v>67</v>
      </c>
      <c r="E629" s="45" t="s">
        <v>459</v>
      </c>
      <c r="F629" s="13" t="s">
        <v>121</v>
      </c>
      <c r="G629" s="14">
        <f t="shared" si="96"/>
        <v>2018</v>
      </c>
      <c r="H629" s="87">
        <f t="shared" si="96"/>
        <v>1974.4</v>
      </c>
      <c r="I629" s="14">
        <f t="shared" si="85"/>
        <v>43.59999999999991</v>
      </c>
      <c r="J629" s="77">
        <f t="shared" si="86"/>
        <v>97.8394449950446</v>
      </c>
    </row>
    <row r="630" spans="1:10" ht="12.75">
      <c r="A630" s="46" t="s">
        <v>124</v>
      </c>
      <c r="B630" s="12" t="s">
        <v>562</v>
      </c>
      <c r="C630" s="13" t="s">
        <v>69</v>
      </c>
      <c r="D630" s="13" t="s">
        <v>67</v>
      </c>
      <c r="E630" s="45" t="s">
        <v>459</v>
      </c>
      <c r="F630" s="13" t="s">
        <v>125</v>
      </c>
      <c r="G630" s="14">
        <f>2926.5-908.5</f>
        <v>2018</v>
      </c>
      <c r="H630" s="87">
        <v>1974.4</v>
      </c>
      <c r="I630" s="14">
        <f t="shared" si="85"/>
        <v>43.59999999999991</v>
      </c>
      <c r="J630" s="77">
        <f t="shared" si="86"/>
        <v>97.8394449950446</v>
      </c>
    </row>
    <row r="631" spans="1:10" ht="25.5">
      <c r="A631" s="25" t="s">
        <v>744</v>
      </c>
      <c r="B631" s="12" t="s">
        <v>562</v>
      </c>
      <c r="C631" s="13" t="s">
        <v>69</v>
      </c>
      <c r="D631" s="13" t="s">
        <v>67</v>
      </c>
      <c r="E631" s="45" t="s">
        <v>680</v>
      </c>
      <c r="F631" s="13"/>
      <c r="G631" s="14">
        <f aca="true" t="shared" si="97" ref="G631:H633">G632</f>
        <v>773</v>
      </c>
      <c r="H631" s="87">
        <f t="shared" si="97"/>
        <v>303.6</v>
      </c>
      <c r="I631" s="14">
        <f t="shared" si="85"/>
        <v>469.4</v>
      </c>
      <c r="J631" s="77">
        <f t="shared" si="86"/>
        <v>39.275549805950845</v>
      </c>
    </row>
    <row r="632" spans="1:10" ht="25.5">
      <c r="A632" s="9" t="s">
        <v>114</v>
      </c>
      <c r="B632" s="12" t="s">
        <v>562</v>
      </c>
      <c r="C632" s="13" t="s">
        <v>69</v>
      </c>
      <c r="D632" s="13" t="s">
        <v>67</v>
      </c>
      <c r="E632" s="45" t="s">
        <v>680</v>
      </c>
      <c r="F632" s="13" t="s">
        <v>115</v>
      </c>
      <c r="G632" s="14">
        <f t="shared" si="97"/>
        <v>773</v>
      </c>
      <c r="H632" s="87">
        <f t="shared" si="97"/>
        <v>303.6</v>
      </c>
      <c r="I632" s="14">
        <f t="shared" si="85"/>
        <v>469.4</v>
      </c>
      <c r="J632" s="77">
        <f t="shared" si="86"/>
        <v>39.275549805950845</v>
      </c>
    </row>
    <row r="633" spans="1:10" ht="12.75">
      <c r="A633" s="9" t="s">
        <v>120</v>
      </c>
      <c r="B633" s="12" t="s">
        <v>562</v>
      </c>
      <c r="C633" s="13" t="s">
        <v>69</v>
      </c>
      <c r="D633" s="13" t="s">
        <v>67</v>
      </c>
      <c r="E633" s="45" t="s">
        <v>680</v>
      </c>
      <c r="F633" s="13" t="s">
        <v>121</v>
      </c>
      <c r="G633" s="14">
        <f t="shared" si="97"/>
        <v>773</v>
      </c>
      <c r="H633" s="87">
        <f t="shared" si="97"/>
        <v>303.6</v>
      </c>
      <c r="I633" s="14">
        <f t="shared" si="85"/>
        <v>469.4</v>
      </c>
      <c r="J633" s="77">
        <f t="shared" si="86"/>
        <v>39.275549805950845</v>
      </c>
    </row>
    <row r="634" spans="1:10" ht="12.75">
      <c r="A634" s="9" t="s">
        <v>124</v>
      </c>
      <c r="B634" s="12" t="s">
        <v>562</v>
      </c>
      <c r="C634" s="13" t="s">
        <v>69</v>
      </c>
      <c r="D634" s="13" t="s">
        <v>67</v>
      </c>
      <c r="E634" s="45" t="s">
        <v>680</v>
      </c>
      <c r="F634" s="13" t="s">
        <v>125</v>
      </c>
      <c r="G634" s="14">
        <f>927.6-154.6</f>
        <v>773</v>
      </c>
      <c r="H634" s="87">
        <v>303.6</v>
      </c>
      <c r="I634" s="14">
        <f t="shared" si="85"/>
        <v>469.4</v>
      </c>
      <c r="J634" s="77">
        <f t="shared" si="86"/>
        <v>39.275549805950845</v>
      </c>
    </row>
    <row r="635" spans="1:10" ht="12.75">
      <c r="A635" s="46" t="s">
        <v>386</v>
      </c>
      <c r="B635" s="12" t="s">
        <v>562</v>
      </c>
      <c r="C635" s="13" t="s">
        <v>69</v>
      </c>
      <c r="D635" s="13" t="s">
        <v>67</v>
      </c>
      <c r="E635" s="45" t="s">
        <v>460</v>
      </c>
      <c r="F635" s="13"/>
      <c r="G635" s="14">
        <f aca="true" t="shared" si="98" ref="G635:H637">G636</f>
        <v>34.2</v>
      </c>
      <c r="H635" s="87">
        <f t="shared" si="98"/>
        <v>34.2</v>
      </c>
      <c r="I635" s="14">
        <f t="shared" si="85"/>
        <v>0</v>
      </c>
      <c r="J635" s="77">
        <f t="shared" si="86"/>
        <v>100</v>
      </c>
    </row>
    <row r="636" spans="1:10" ht="25.5">
      <c r="A636" s="46" t="s">
        <v>114</v>
      </c>
      <c r="B636" s="12" t="s">
        <v>562</v>
      </c>
      <c r="C636" s="13" t="s">
        <v>69</v>
      </c>
      <c r="D636" s="13" t="s">
        <v>67</v>
      </c>
      <c r="E636" s="45" t="s">
        <v>460</v>
      </c>
      <c r="F636" s="13" t="s">
        <v>115</v>
      </c>
      <c r="G636" s="14">
        <f t="shared" si="98"/>
        <v>34.2</v>
      </c>
      <c r="H636" s="87">
        <f t="shared" si="98"/>
        <v>34.2</v>
      </c>
      <c r="I636" s="14">
        <f t="shared" si="85"/>
        <v>0</v>
      </c>
      <c r="J636" s="77">
        <f t="shared" si="86"/>
        <v>100</v>
      </c>
    </row>
    <row r="637" spans="1:10" ht="12.75">
      <c r="A637" s="46" t="s">
        <v>120</v>
      </c>
      <c r="B637" s="12" t="s">
        <v>562</v>
      </c>
      <c r="C637" s="13" t="s">
        <v>69</v>
      </c>
      <c r="D637" s="13" t="s">
        <v>67</v>
      </c>
      <c r="E637" s="45" t="s">
        <v>460</v>
      </c>
      <c r="F637" s="13" t="s">
        <v>121</v>
      </c>
      <c r="G637" s="14">
        <f t="shared" si="98"/>
        <v>34.2</v>
      </c>
      <c r="H637" s="87">
        <f t="shared" si="98"/>
        <v>34.2</v>
      </c>
      <c r="I637" s="14">
        <f t="shared" si="85"/>
        <v>0</v>
      </c>
      <c r="J637" s="77">
        <f t="shared" si="86"/>
        <v>100</v>
      </c>
    </row>
    <row r="638" spans="1:10" ht="12.75">
      <c r="A638" s="46" t="s">
        <v>124</v>
      </c>
      <c r="B638" s="12" t="s">
        <v>562</v>
      </c>
      <c r="C638" s="13" t="s">
        <v>69</v>
      </c>
      <c r="D638" s="13" t="s">
        <v>67</v>
      </c>
      <c r="E638" s="45" t="s">
        <v>460</v>
      </c>
      <c r="F638" s="13" t="s">
        <v>125</v>
      </c>
      <c r="G638" s="14">
        <v>34.2</v>
      </c>
      <c r="H638" s="87">
        <v>34.2</v>
      </c>
      <c r="I638" s="14">
        <f t="shared" si="85"/>
        <v>0</v>
      </c>
      <c r="J638" s="77">
        <f t="shared" si="86"/>
        <v>100</v>
      </c>
    </row>
    <row r="639" spans="1:10" ht="25.5">
      <c r="A639" s="46" t="s">
        <v>361</v>
      </c>
      <c r="B639" s="12" t="s">
        <v>562</v>
      </c>
      <c r="C639" s="13" t="s">
        <v>69</v>
      </c>
      <c r="D639" s="13" t="s">
        <v>67</v>
      </c>
      <c r="E639" s="45" t="s">
        <v>206</v>
      </c>
      <c r="F639" s="13"/>
      <c r="G639" s="14">
        <f>G640</f>
        <v>1454.6999999999998</v>
      </c>
      <c r="H639" s="87">
        <f>H640</f>
        <v>1454.3000000000002</v>
      </c>
      <c r="I639" s="14">
        <f t="shared" si="85"/>
        <v>0.3999999999996362</v>
      </c>
      <c r="J639" s="77">
        <f t="shared" si="86"/>
        <v>99.97250292156461</v>
      </c>
    </row>
    <row r="640" spans="1:10" ht="25.5">
      <c r="A640" s="46" t="s">
        <v>290</v>
      </c>
      <c r="B640" s="12" t="s">
        <v>562</v>
      </c>
      <c r="C640" s="13" t="s">
        <v>69</v>
      </c>
      <c r="D640" s="13" t="s">
        <v>67</v>
      </c>
      <c r="E640" s="45" t="s">
        <v>453</v>
      </c>
      <c r="F640" s="13"/>
      <c r="G640" s="14">
        <f>G641+G645+G649+G653</f>
        <v>1454.6999999999998</v>
      </c>
      <c r="H640" s="87">
        <f>H641+H645+H649+H653</f>
        <v>1454.3000000000002</v>
      </c>
      <c r="I640" s="14">
        <f t="shared" si="85"/>
        <v>0.3999999999996362</v>
      </c>
      <c r="J640" s="77">
        <f t="shared" si="86"/>
        <v>99.97250292156461</v>
      </c>
    </row>
    <row r="641" spans="1:10" ht="12.75">
      <c r="A641" s="46" t="s">
        <v>205</v>
      </c>
      <c r="B641" s="12" t="s">
        <v>562</v>
      </c>
      <c r="C641" s="13" t="s">
        <v>69</v>
      </c>
      <c r="D641" s="13" t="s">
        <v>67</v>
      </c>
      <c r="E641" s="45" t="s">
        <v>454</v>
      </c>
      <c r="F641" s="13"/>
      <c r="G641" s="14">
        <f aca="true" t="shared" si="99" ref="G641:H643">G642</f>
        <v>949.8</v>
      </c>
      <c r="H641" s="87">
        <f t="shared" si="99"/>
        <v>949.5</v>
      </c>
      <c r="I641" s="14">
        <f t="shared" si="85"/>
        <v>0.2999999999999545</v>
      </c>
      <c r="J641" s="77">
        <f t="shared" si="86"/>
        <v>99.96841440303223</v>
      </c>
    </row>
    <row r="642" spans="1:10" ht="25.5">
      <c r="A642" s="46" t="s">
        <v>114</v>
      </c>
      <c r="B642" s="12" t="s">
        <v>562</v>
      </c>
      <c r="C642" s="13" t="s">
        <v>69</v>
      </c>
      <c r="D642" s="13" t="s">
        <v>67</v>
      </c>
      <c r="E642" s="45" t="s">
        <v>454</v>
      </c>
      <c r="F642" s="13" t="s">
        <v>115</v>
      </c>
      <c r="G642" s="14">
        <f t="shared" si="99"/>
        <v>949.8</v>
      </c>
      <c r="H642" s="87">
        <f t="shared" si="99"/>
        <v>949.5</v>
      </c>
      <c r="I642" s="14">
        <f t="shared" si="85"/>
        <v>0.2999999999999545</v>
      </c>
      <c r="J642" s="77">
        <f t="shared" si="86"/>
        <v>99.96841440303223</v>
      </c>
    </row>
    <row r="643" spans="1:10" ht="12.75">
      <c r="A643" s="46" t="s">
        <v>120</v>
      </c>
      <c r="B643" s="12" t="s">
        <v>562</v>
      </c>
      <c r="C643" s="13" t="s">
        <v>69</v>
      </c>
      <c r="D643" s="13" t="s">
        <v>67</v>
      </c>
      <c r="E643" s="45" t="s">
        <v>454</v>
      </c>
      <c r="F643" s="13" t="s">
        <v>121</v>
      </c>
      <c r="G643" s="14">
        <f t="shared" si="99"/>
        <v>949.8</v>
      </c>
      <c r="H643" s="87">
        <f t="shared" si="99"/>
        <v>949.5</v>
      </c>
      <c r="I643" s="14">
        <f t="shared" si="85"/>
        <v>0.2999999999999545</v>
      </c>
      <c r="J643" s="77">
        <f t="shared" si="86"/>
        <v>99.96841440303223</v>
      </c>
    </row>
    <row r="644" spans="1:10" ht="12.75">
      <c r="A644" s="46" t="s">
        <v>124</v>
      </c>
      <c r="B644" s="12" t="s">
        <v>562</v>
      </c>
      <c r="C644" s="13" t="s">
        <v>69</v>
      </c>
      <c r="D644" s="13" t="s">
        <v>67</v>
      </c>
      <c r="E644" s="45" t="s">
        <v>454</v>
      </c>
      <c r="F644" s="13" t="s">
        <v>125</v>
      </c>
      <c r="G644" s="14">
        <f>747.4+202.4</f>
        <v>949.8</v>
      </c>
      <c r="H644" s="87">
        <v>949.5</v>
      </c>
      <c r="I644" s="14">
        <f t="shared" si="85"/>
        <v>0.2999999999999545</v>
      </c>
      <c r="J644" s="77">
        <f t="shared" si="86"/>
        <v>99.96841440303223</v>
      </c>
    </row>
    <row r="645" spans="1:10" ht="12.75">
      <c r="A645" s="46" t="s">
        <v>213</v>
      </c>
      <c r="B645" s="12" t="s">
        <v>562</v>
      </c>
      <c r="C645" s="13" t="s">
        <v>69</v>
      </c>
      <c r="D645" s="13" t="s">
        <v>67</v>
      </c>
      <c r="E645" s="45" t="s">
        <v>461</v>
      </c>
      <c r="F645" s="13"/>
      <c r="G645" s="14">
        <f aca="true" t="shared" si="100" ref="G645:H647">G646</f>
        <v>100.7</v>
      </c>
      <c r="H645" s="87">
        <f t="shared" si="100"/>
        <v>100.7</v>
      </c>
      <c r="I645" s="14">
        <f t="shared" si="85"/>
        <v>0</v>
      </c>
      <c r="J645" s="77">
        <f t="shared" si="86"/>
        <v>100</v>
      </c>
    </row>
    <row r="646" spans="1:10" ht="25.5">
      <c r="A646" s="46" t="s">
        <v>114</v>
      </c>
      <c r="B646" s="12" t="s">
        <v>562</v>
      </c>
      <c r="C646" s="13" t="s">
        <v>69</v>
      </c>
      <c r="D646" s="13" t="s">
        <v>67</v>
      </c>
      <c r="E646" s="45" t="s">
        <v>461</v>
      </c>
      <c r="F646" s="13" t="s">
        <v>115</v>
      </c>
      <c r="G646" s="14">
        <f t="shared" si="100"/>
        <v>100.7</v>
      </c>
      <c r="H646" s="87">
        <f t="shared" si="100"/>
        <v>100.7</v>
      </c>
      <c r="I646" s="14">
        <f t="shared" si="85"/>
        <v>0</v>
      </c>
      <c r="J646" s="77">
        <f t="shared" si="86"/>
        <v>100</v>
      </c>
    </row>
    <row r="647" spans="1:10" ht="12.75">
      <c r="A647" s="46" t="s">
        <v>120</v>
      </c>
      <c r="B647" s="12" t="s">
        <v>562</v>
      </c>
      <c r="C647" s="13" t="s">
        <v>69</v>
      </c>
      <c r="D647" s="13" t="s">
        <v>67</v>
      </c>
      <c r="E647" s="45" t="s">
        <v>461</v>
      </c>
      <c r="F647" s="13" t="s">
        <v>121</v>
      </c>
      <c r="G647" s="14">
        <f t="shared" si="100"/>
        <v>100.7</v>
      </c>
      <c r="H647" s="87">
        <f t="shared" si="100"/>
        <v>100.7</v>
      </c>
      <c r="I647" s="14">
        <f t="shared" si="85"/>
        <v>0</v>
      </c>
      <c r="J647" s="77">
        <f t="shared" si="86"/>
        <v>100</v>
      </c>
    </row>
    <row r="648" spans="1:10" ht="12.75">
      <c r="A648" s="46" t="s">
        <v>124</v>
      </c>
      <c r="B648" s="12" t="s">
        <v>562</v>
      </c>
      <c r="C648" s="13" t="s">
        <v>69</v>
      </c>
      <c r="D648" s="13" t="s">
        <v>67</v>
      </c>
      <c r="E648" s="45" t="s">
        <v>461</v>
      </c>
      <c r="F648" s="13" t="s">
        <v>125</v>
      </c>
      <c r="G648" s="14">
        <v>100.7</v>
      </c>
      <c r="H648" s="87">
        <v>100.7</v>
      </c>
      <c r="I648" s="14">
        <f t="shared" si="85"/>
        <v>0</v>
      </c>
      <c r="J648" s="77">
        <f t="shared" si="86"/>
        <v>100</v>
      </c>
    </row>
    <row r="649" spans="1:10" ht="21" customHeight="1">
      <c r="A649" s="46" t="s">
        <v>384</v>
      </c>
      <c r="B649" s="12" t="s">
        <v>562</v>
      </c>
      <c r="C649" s="13" t="s">
        <v>69</v>
      </c>
      <c r="D649" s="13" t="s">
        <v>67</v>
      </c>
      <c r="E649" s="45" t="s">
        <v>455</v>
      </c>
      <c r="F649" s="13"/>
      <c r="G649" s="14">
        <f aca="true" t="shared" si="101" ref="G649:H651">G650</f>
        <v>364.09999999999997</v>
      </c>
      <c r="H649" s="87">
        <f t="shared" si="101"/>
        <v>364.1</v>
      </c>
      <c r="I649" s="14">
        <f t="shared" si="85"/>
        <v>0</v>
      </c>
      <c r="J649" s="77">
        <f t="shared" si="86"/>
        <v>100.00000000000003</v>
      </c>
    </row>
    <row r="650" spans="1:10" ht="25.5">
      <c r="A650" s="46" t="s">
        <v>114</v>
      </c>
      <c r="B650" s="12" t="s">
        <v>562</v>
      </c>
      <c r="C650" s="13" t="s">
        <v>69</v>
      </c>
      <c r="D650" s="13" t="s">
        <v>67</v>
      </c>
      <c r="E650" s="45" t="s">
        <v>455</v>
      </c>
      <c r="F650" s="13" t="s">
        <v>115</v>
      </c>
      <c r="G650" s="14">
        <f t="shared" si="101"/>
        <v>364.09999999999997</v>
      </c>
      <c r="H650" s="87">
        <f t="shared" si="101"/>
        <v>364.1</v>
      </c>
      <c r="I650" s="14">
        <f aca="true" t="shared" si="102" ref="I650:I713">G650-H650</f>
        <v>0</v>
      </c>
      <c r="J650" s="77">
        <f aca="true" t="shared" si="103" ref="J650:J713">H650/G650*100</f>
        <v>100.00000000000003</v>
      </c>
    </row>
    <row r="651" spans="1:10" ht="12.75">
      <c r="A651" s="46" t="s">
        <v>120</v>
      </c>
      <c r="B651" s="12" t="s">
        <v>562</v>
      </c>
      <c r="C651" s="13" t="s">
        <v>69</v>
      </c>
      <c r="D651" s="13" t="s">
        <v>67</v>
      </c>
      <c r="E651" s="45" t="s">
        <v>455</v>
      </c>
      <c r="F651" s="13" t="s">
        <v>121</v>
      </c>
      <c r="G651" s="14">
        <f t="shared" si="101"/>
        <v>364.09999999999997</v>
      </c>
      <c r="H651" s="87">
        <f t="shared" si="101"/>
        <v>364.1</v>
      </c>
      <c r="I651" s="14">
        <f t="shared" si="102"/>
        <v>0</v>
      </c>
      <c r="J651" s="77">
        <f t="shared" si="103"/>
        <v>100.00000000000003</v>
      </c>
    </row>
    <row r="652" spans="1:10" ht="12.75">
      <c r="A652" s="46" t="s">
        <v>124</v>
      </c>
      <c r="B652" s="12" t="s">
        <v>562</v>
      </c>
      <c r="C652" s="13" t="s">
        <v>69</v>
      </c>
      <c r="D652" s="13" t="s">
        <v>67</v>
      </c>
      <c r="E652" s="45" t="s">
        <v>455</v>
      </c>
      <c r="F652" s="13" t="s">
        <v>125</v>
      </c>
      <c r="G652" s="14">
        <f>306.7+57.4</f>
        <v>364.09999999999997</v>
      </c>
      <c r="H652" s="87">
        <v>364.1</v>
      </c>
      <c r="I652" s="14">
        <f t="shared" si="102"/>
        <v>0</v>
      </c>
      <c r="J652" s="77">
        <f t="shared" si="103"/>
        <v>100.00000000000003</v>
      </c>
    </row>
    <row r="653" spans="1:10" ht="27" customHeight="1">
      <c r="A653" s="46" t="s">
        <v>207</v>
      </c>
      <c r="B653" s="12" t="s">
        <v>562</v>
      </c>
      <c r="C653" s="13" t="s">
        <v>69</v>
      </c>
      <c r="D653" s="13" t="s">
        <v>67</v>
      </c>
      <c r="E653" s="45" t="s">
        <v>456</v>
      </c>
      <c r="F653" s="13"/>
      <c r="G653" s="14">
        <f aca="true" t="shared" si="104" ref="G653:H655">G654</f>
        <v>40.1</v>
      </c>
      <c r="H653" s="87">
        <f t="shared" si="104"/>
        <v>40</v>
      </c>
      <c r="I653" s="14">
        <f t="shared" si="102"/>
        <v>0.10000000000000142</v>
      </c>
      <c r="J653" s="77">
        <f t="shared" si="103"/>
        <v>99.7506234413965</v>
      </c>
    </row>
    <row r="654" spans="1:10" ht="25.5">
      <c r="A654" s="46" t="s">
        <v>114</v>
      </c>
      <c r="B654" s="12" t="s">
        <v>562</v>
      </c>
      <c r="C654" s="13" t="s">
        <v>69</v>
      </c>
      <c r="D654" s="13" t="s">
        <v>67</v>
      </c>
      <c r="E654" s="45" t="s">
        <v>456</v>
      </c>
      <c r="F654" s="13" t="s">
        <v>115</v>
      </c>
      <c r="G654" s="14">
        <f t="shared" si="104"/>
        <v>40.1</v>
      </c>
      <c r="H654" s="87">
        <f t="shared" si="104"/>
        <v>40</v>
      </c>
      <c r="I654" s="14">
        <f t="shared" si="102"/>
        <v>0.10000000000000142</v>
      </c>
      <c r="J654" s="77">
        <f t="shared" si="103"/>
        <v>99.7506234413965</v>
      </c>
    </row>
    <row r="655" spans="1:10" ht="12.75">
      <c r="A655" s="46" t="s">
        <v>120</v>
      </c>
      <c r="B655" s="12" t="s">
        <v>562</v>
      </c>
      <c r="C655" s="13" t="s">
        <v>69</v>
      </c>
      <c r="D655" s="13" t="s">
        <v>67</v>
      </c>
      <c r="E655" s="45" t="s">
        <v>456</v>
      </c>
      <c r="F655" s="13" t="s">
        <v>121</v>
      </c>
      <c r="G655" s="14">
        <f t="shared" si="104"/>
        <v>40.1</v>
      </c>
      <c r="H655" s="87">
        <f t="shared" si="104"/>
        <v>40</v>
      </c>
      <c r="I655" s="14">
        <f t="shared" si="102"/>
        <v>0.10000000000000142</v>
      </c>
      <c r="J655" s="77">
        <f t="shared" si="103"/>
        <v>99.7506234413965</v>
      </c>
    </row>
    <row r="656" spans="1:10" ht="12.75">
      <c r="A656" s="46" t="s">
        <v>124</v>
      </c>
      <c r="B656" s="12" t="s">
        <v>562</v>
      </c>
      <c r="C656" s="13" t="s">
        <v>69</v>
      </c>
      <c r="D656" s="13" t="s">
        <v>67</v>
      </c>
      <c r="E656" s="45" t="s">
        <v>456</v>
      </c>
      <c r="F656" s="13" t="s">
        <v>125</v>
      </c>
      <c r="G656" s="14">
        <f>28.7+11.4+5.7-5.7</f>
        <v>40.1</v>
      </c>
      <c r="H656" s="87">
        <v>40</v>
      </c>
      <c r="I656" s="14">
        <f t="shared" si="102"/>
        <v>0.10000000000000142</v>
      </c>
      <c r="J656" s="77">
        <f t="shared" si="103"/>
        <v>99.7506234413965</v>
      </c>
    </row>
    <row r="657" spans="1:10" ht="12.75">
      <c r="A657" s="46" t="s">
        <v>503</v>
      </c>
      <c r="B657" s="12" t="s">
        <v>562</v>
      </c>
      <c r="C657" s="13" t="s">
        <v>69</v>
      </c>
      <c r="D657" s="13" t="s">
        <v>67</v>
      </c>
      <c r="E657" s="13" t="s">
        <v>252</v>
      </c>
      <c r="F657" s="13"/>
      <c r="G657" s="14">
        <f>G658</f>
        <v>4798</v>
      </c>
      <c r="H657" s="87">
        <f>H658</f>
        <v>4163</v>
      </c>
      <c r="I657" s="14">
        <f t="shared" si="102"/>
        <v>635</v>
      </c>
      <c r="J657" s="77">
        <f t="shared" si="103"/>
        <v>86.76531888286786</v>
      </c>
    </row>
    <row r="658" spans="1:10" ht="12.75">
      <c r="A658" s="46" t="s">
        <v>506</v>
      </c>
      <c r="B658" s="12" t="s">
        <v>562</v>
      </c>
      <c r="C658" s="13" t="s">
        <v>69</v>
      </c>
      <c r="D658" s="13" t="s">
        <v>67</v>
      </c>
      <c r="E658" s="13" t="s">
        <v>501</v>
      </c>
      <c r="F658" s="13"/>
      <c r="G658" s="14">
        <f>G659+G663</f>
        <v>4798</v>
      </c>
      <c r="H658" s="87">
        <f>H659+H663</f>
        <v>4163</v>
      </c>
      <c r="I658" s="14">
        <f t="shared" si="102"/>
        <v>635</v>
      </c>
      <c r="J658" s="77">
        <f t="shared" si="103"/>
        <v>86.76531888286786</v>
      </c>
    </row>
    <row r="659" spans="1:10" ht="39" customHeight="1">
      <c r="A659" s="46" t="s">
        <v>381</v>
      </c>
      <c r="B659" s="12" t="s">
        <v>562</v>
      </c>
      <c r="C659" s="13" t="s">
        <v>69</v>
      </c>
      <c r="D659" s="13" t="s">
        <v>67</v>
      </c>
      <c r="E659" s="13" t="s">
        <v>502</v>
      </c>
      <c r="F659" s="13"/>
      <c r="G659" s="14">
        <f aca="true" t="shared" si="105" ref="G659:H661">G660</f>
        <v>4186</v>
      </c>
      <c r="H659" s="87">
        <f t="shared" si="105"/>
        <v>3640.2</v>
      </c>
      <c r="I659" s="14">
        <f t="shared" si="102"/>
        <v>545.8000000000002</v>
      </c>
      <c r="J659" s="77">
        <f t="shared" si="103"/>
        <v>86.96129956999522</v>
      </c>
    </row>
    <row r="660" spans="1:10" ht="25.5">
      <c r="A660" s="46" t="s">
        <v>114</v>
      </c>
      <c r="B660" s="12" t="s">
        <v>562</v>
      </c>
      <c r="C660" s="13" t="s">
        <v>69</v>
      </c>
      <c r="D660" s="13" t="s">
        <v>67</v>
      </c>
      <c r="E660" s="13" t="s">
        <v>502</v>
      </c>
      <c r="F660" s="13" t="s">
        <v>115</v>
      </c>
      <c r="G660" s="14">
        <f t="shared" si="105"/>
        <v>4186</v>
      </c>
      <c r="H660" s="87">
        <f t="shared" si="105"/>
        <v>3640.2</v>
      </c>
      <c r="I660" s="14">
        <f t="shared" si="102"/>
        <v>545.8000000000002</v>
      </c>
      <c r="J660" s="77">
        <f t="shared" si="103"/>
        <v>86.96129956999522</v>
      </c>
    </row>
    <row r="661" spans="1:10" ht="12.75">
      <c r="A661" s="46" t="s">
        <v>120</v>
      </c>
      <c r="B661" s="12" t="s">
        <v>562</v>
      </c>
      <c r="C661" s="13" t="s">
        <v>69</v>
      </c>
      <c r="D661" s="13" t="s">
        <v>67</v>
      </c>
      <c r="E661" s="13" t="s">
        <v>502</v>
      </c>
      <c r="F661" s="13" t="s">
        <v>121</v>
      </c>
      <c r="G661" s="14">
        <f t="shared" si="105"/>
        <v>4186</v>
      </c>
      <c r="H661" s="87">
        <f t="shared" si="105"/>
        <v>3640.2</v>
      </c>
      <c r="I661" s="14">
        <f t="shared" si="102"/>
        <v>545.8000000000002</v>
      </c>
      <c r="J661" s="77">
        <f t="shared" si="103"/>
        <v>86.96129956999522</v>
      </c>
    </row>
    <row r="662" spans="1:10" ht="12.75">
      <c r="A662" s="46" t="s">
        <v>124</v>
      </c>
      <c r="B662" s="12" t="s">
        <v>562</v>
      </c>
      <c r="C662" s="13" t="s">
        <v>69</v>
      </c>
      <c r="D662" s="13" t="s">
        <v>67</v>
      </c>
      <c r="E662" s="13" t="s">
        <v>502</v>
      </c>
      <c r="F662" s="13" t="s">
        <v>125</v>
      </c>
      <c r="G662" s="14">
        <f>3900+800-114-300-100</f>
        <v>4186</v>
      </c>
      <c r="H662" s="87">
        <v>3640.2</v>
      </c>
      <c r="I662" s="14">
        <f t="shared" si="102"/>
        <v>545.8000000000002</v>
      </c>
      <c r="J662" s="77">
        <f t="shared" si="103"/>
        <v>86.96129956999522</v>
      </c>
    </row>
    <row r="663" spans="1:10" ht="12.75">
      <c r="A663" s="46" t="s">
        <v>272</v>
      </c>
      <c r="B663" s="12" t="s">
        <v>562</v>
      </c>
      <c r="C663" s="13" t="s">
        <v>69</v>
      </c>
      <c r="D663" s="13" t="s">
        <v>67</v>
      </c>
      <c r="E663" s="13" t="s">
        <v>505</v>
      </c>
      <c r="F663" s="13"/>
      <c r="G663" s="14">
        <f aca="true" t="shared" si="106" ref="G663:H665">G664</f>
        <v>612</v>
      </c>
      <c r="H663" s="87">
        <f t="shared" si="106"/>
        <v>522.8</v>
      </c>
      <c r="I663" s="14">
        <f t="shared" si="102"/>
        <v>89.20000000000005</v>
      </c>
      <c r="J663" s="77">
        <f t="shared" si="103"/>
        <v>85.42483660130719</v>
      </c>
    </row>
    <row r="664" spans="1:10" ht="25.5">
      <c r="A664" s="46" t="s">
        <v>114</v>
      </c>
      <c r="B664" s="12" t="s">
        <v>562</v>
      </c>
      <c r="C664" s="13" t="s">
        <v>69</v>
      </c>
      <c r="D664" s="13" t="s">
        <v>67</v>
      </c>
      <c r="E664" s="13" t="s">
        <v>505</v>
      </c>
      <c r="F664" s="13" t="s">
        <v>115</v>
      </c>
      <c r="G664" s="14">
        <f t="shared" si="106"/>
        <v>612</v>
      </c>
      <c r="H664" s="87">
        <f t="shared" si="106"/>
        <v>522.8</v>
      </c>
      <c r="I664" s="14">
        <f t="shared" si="102"/>
        <v>89.20000000000005</v>
      </c>
      <c r="J664" s="77">
        <f t="shared" si="103"/>
        <v>85.42483660130719</v>
      </c>
    </row>
    <row r="665" spans="1:10" ht="12.75">
      <c r="A665" s="46" t="s">
        <v>120</v>
      </c>
      <c r="B665" s="12" t="s">
        <v>562</v>
      </c>
      <c r="C665" s="13" t="s">
        <v>69</v>
      </c>
      <c r="D665" s="13" t="s">
        <v>67</v>
      </c>
      <c r="E665" s="13" t="s">
        <v>505</v>
      </c>
      <c r="F665" s="13" t="s">
        <v>121</v>
      </c>
      <c r="G665" s="14">
        <f t="shared" si="106"/>
        <v>612</v>
      </c>
      <c r="H665" s="87">
        <f t="shared" si="106"/>
        <v>522.8</v>
      </c>
      <c r="I665" s="14">
        <f t="shared" si="102"/>
        <v>89.20000000000005</v>
      </c>
      <c r="J665" s="77">
        <f t="shared" si="103"/>
        <v>85.42483660130719</v>
      </c>
    </row>
    <row r="666" spans="1:10" ht="12.75">
      <c r="A666" s="46" t="s">
        <v>124</v>
      </c>
      <c r="B666" s="12" t="s">
        <v>562</v>
      </c>
      <c r="C666" s="13" t="s">
        <v>69</v>
      </c>
      <c r="D666" s="13" t="s">
        <v>67</v>
      </c>
      <c r="E666" s="13" t="s">
        <v>505</v>
      </c>
      <c r="F666" s="13" t="s">
        <v>125</v>
      </c>
      <c r="G666" s="14">
        <f>600+12</f>
        <v>612</v>
      </c>
      <c r="H666" s="87">
        <v>522.8</v>
      </c>
      <c r="I666" s="14">
        <f t="shared" si="102"/>
        <v>89.20000000000005</v>
      </c>
      <c r="J666" s="77">
        <f t="shared" si="103"/>
        <v>85.42483660130719</v>
      </c>
    </row>
    <row r="667" spans="1:10" ht="12.75">
      <c r="A667" s="46" t="s">
        <v>60</v>
      </c>
      <c r="B667" s="12" t="s">
        <v>562</v>
      </c>
      <c r="C667" s="13" t="s">
        <v>69</v>
      </c>
      <c r="D667" s="13" t="s">
        <v>67</v>
      </c>
      <c r="E667" s="13" t="s">
        <v>264</v>
      </c>
      <c r="F667" s="13"/>
      <c r="G667" s="14">
        <f aca="true" t="shared" si="107" ref="G667:H670">G668</f>
        <v>22557</v>
      </c>
      <c r="H667" s="87">
        <f t="shared" si="107"/>
        <v>22414.100000000002</v>
      </c>
      <c r="I667" s="14">
        <f t="shared" si="102"/>
        <v>142.89999999999782</v>
      </c>
      <c r="J667" s="77">
        <f t="shared" si="103"/>
        <v>99.36649377133485</v>
      </c>
    </row>
    <row r="668" spans="1:10" ht="25.5">
      <c r="A668" s="46" t="s">
        <v>289</v>
      </c>
      <c r="B668" s="12" t="s">
        <v>562</v>
      </c>
      <c r="C668" s="13" t="s">
        <v>69</v>
      </c>
      <c r="D668" s="13" t="s">
        <v>67</v>
      </c>
      <c r="E668" s="13" t="s">
        <v>514</v>
      </c>
      <c r="F668" s="13"/>
      <c r="G668" s="14">
        <f t="shared" si="107"/>
        <v>22557</v>
      </c>
      <c r="H668" s="87">
        <f t="shared" si="107"/>
        <v>22414.100000000002</v>
      </c>
      <c r="I668" s="14">
        <f t="shared" si="102"/>
        <v>142.89999999999782</v>
      </c>
      <c r="J668" s="77">
        <f t="shared" si="103"/>
        <v>99.36649377133485</v>
      </c>
    </row>
    <row r="669" spans="1:10" ht="12.75">
      <c r="A669" s="46" t="s">
        <v>288</v>
      </c>
      <c r="B669" s="12" t="s">
        <v>562</v>
      </c>
      <c r="C669" s="13" t="s">
        <v>69</v>
      </c>
      <c r="D669" s="13" t="s">
        <v>67</v>
      </c>
      <c r="E669" s="13" t="s">
        <v>515</v>
      </c>
      <c r="F669" s="13"/>
      <c r="G669" s="14">
        <f t="shared" si="107"/>
        <v>22557</v>
      </c>
      <c r="H669" s="87">
        <f t="shared" si="107"/>
        <v>22414.100000000002</v>
      </c>
      <c r="I669" s="14">
        <f t="shared" si="102"/>
        <v>142.89999999999782</v>
      </c>
      <c r="J669" s="77">
        <f t="shared" si="103"/>
        <v>99.36649377133485</v>
      </c>
    </row>
    <row r="670" spans="1:10" ht="25.5">
      <c r="A670" s="46" t="s">
        <v>114</v>
      </c>
      <c r="B670" s="12" t="s">
        <v>562</v>
      </c>
      <c r="C670" s="13" t="s">
        <v>69</v>
      </c>
      <c r="D670" s="13" t="s">
        <v>67</v>
      </c>
      <c r="E670" s="13" t="s">
        <v>515</v>
      </c>
      <c r="F670" s="13" t="s">
        <v>115</v>
      </c>
      <c r="G670" s="14">
        <f t="shared" si="107"/>
        <v>22557</v>
      </c>
      <c r="H670" s="87">
        <f t="shared" si="107"/>
        <v>22414.100000000002</v>
      </c>
      <c r="I670" s="14">
        <f t="shared" si="102"/>
        <v>142.89999999999782</v>
      </c>
      <c r="J670" s="77">
        <f t="shared" si="103"/>
        <v>99.36649377133485</v>
      </c>
    </row>
    <row r="671" spans="1:10" ht="12.75">
      <c r="A671" s="46" t="s">
        <v>120</v>
      </c>
      <c r="B671" s="12" t="s">
        <v>562</v>
      </c>
      <c r="C671" s="13" t="s">
        <v>69</v>
      </c>
      <c r="D671" s="13" t="s">
        <v>67</v>
      </c>
      <c r="E671" s="13" t="s">
        <v>515</v>
      </c>
      <c r="F671" s="13" t="s">
        <v>121</v>
      </c>
      <c r="G671" s="14">
        <f>G672+G673</f>
        <v>22557</v>
      </c>
      <c r="H671" s="87">
        <f>H672+H673</f>
        <v>22414.100000000002</v>
      </c>
      <c r="I671" s="14">
        <f t="shared" si="102"/>
        <v>142.89999999999782</v>
      </c>
      <c r="J671" s="77">
        <f t="shared" si="103"/>
        <v>99.36649377133485</v>
      </c>
    </row>
    <row r="672" spans="1:10" ht="38.25">
      <c r="A672" s="46" t="s">
        <v>122</v>
      </c>
      <c r="B672" s="12" t="s">
        <v>562</v>
      </c>
      <c r="C672" s="13" t="s">
        <v>69</v>
      </c>
      <c r="D672" s="13" t="s">
        <v>67</v>
      </c>
      <c r="E672" s="13" t="s">
        <v>515</v>
      </c>
      <c r="F672" s="13" t="s">
        <v>123</v>
      </c>
      <c r="G672" s="14">
        <f>20613-265</f>
        <v>20348</v>
      </c>
      <c r="H672" s="87">
        <v>20207.2</v>
      </c>
      <c r="I672" s="14">
        <f t="shared" si="102"/>
        <v>140.79999999999927</v>
      </c>
      <c r="J672" s="77">
        <f t="shared" si="103"/>
        <v>99.30804010222136</v>
      </c>
    </row>
    <row r="673" spans="1:10" ht="12.75">
      <c r="A673" s="46" t="s">
        <v>124</v>
      </c>
      <c r="B673" s="12" t="s">
        <v>562</v>
      </c>
      <c r="C673" s="13" t="s">
        <v>69</v>
      </c>
      <c r="D673" s="13" t="s">
        <v>67</v>
      </c>
      <c r="E673" s="13" t="s">
        <v>515</v>
      </c>
      <c r="F673" s="13" t="s">
        <v>125</v>
      </c>
      <c r="G673" s="14">
        <f>2100-386+495</f>
        <v>2209</v>
      </c>
      <c r="H673" s="87">
        <v>2206.9</v>
      </c>
      <c r="I673" s="14">
        <f t="shared" si="102"/>
        <v>2.099999999999909</v>
      </c>
      <c r="J673" s="77">
        <f t="shared" si="103"/>
        <v>99.90493435943867</v>
      </c>
    </row>
    <row r="674" spans="1:10" ht="12.75">
      <c r="A674" s="46" t="s">
        <v>431</v>
      </c>
      <c r="B674" s="12" t="s">
        <v>562</v>
      </c>
      <c r="C674" s="13" t="s">
        <v>69</v>
      </c>
      <c r="D674" s="13" t="s">
        <v>67</v>
      </c>
      <c r="E674" s="13" t="s">
        <v>265</v>
      </c>
      <c r="F674" s="13"/>
      <c r="G674" s="14">
        <f aca="true" t="shared" si="108" ref="G674:H677">G675</f>
        <v>26515.4</v>
      </c>
      <c r="H674" s="87">
        <f t="shared" si="108"/>
        <v>26453.6</v>
      </c>
      <c r="I674" s="14">
        <f t="shared" si="102"/>
        <v>61.80000000000291</v>
      </c>
      <c r="J674" s="77">
        <f t="shared" si="103"/>
        <v>99.76692789850425</v>
      </c>
    </row>
    <row r="675" spans="1:10" ht="25.5">
      <c r="A675" s="46" t="s">
        <v>289</v>
      </c>
      <c r="B675" s="12" t="s">
        <v>562</v>
      </c>
      <c r="C675" s="13" t="s">
        <v>69</v>
      </c>
      <c r="D675" s="13" t="s">
        <v>67</v>
      </c>
      <c r="E675" s="13" t="s">
        <v>516</v>
      </c>
      <c r="F675" s="13"/>
      <c r="G675" s="14">
        <f t="shared" si="108"/>
        <v>26515.4</v>
      </c>
      <c r="H675" s="87">
        <f t="shared" si="108"/>
        <v>26453.6</v>
      </c>
      <c r="I675" s="14">
        <f t="shared" si="102"/>
        <v>61.80000000000291</v>
      </c>
      <c r="J675" s="77">
        <f t="shared" si="103"/>
        <v>99.76692789850425</v>
      </c>
    </row>
    <row r="676" spans="1:10" ht="12.75">
      <c r="A676" s="46" t="s">
        <v>288</v>
      </c>
      <c r="B676" s="12" t="s">
        <v>562</v>
      </c>
      <c r="C676" s="13" t="s">
        <v>69</v>
      </c>
      <c r="D676" s="13" t="s">
        <v>67</v>
      </c>
      <c r="E676" s="13" t="s">
        <v>517</v>
      </c>
      <c r="F676" s="13"/>
      <c r="G676" s="14">
        <f t="shared" si="108"/>
        <v>26515.4</v>
      </c>
      <c r="H676" s="87">
        <f t="shared" si="108"/>
        <v>26453.6</v>
      </c>
      <c r="I676" s="14">
        <f t="shared" si="102"/>
        <v>61.80000000000291</v>
      </c>
      <c r="J676" s="77">
        <f t="shared" si="103"/>
        <v>99.76692789850425</v>
      </c>
    </row>
    <row r="677" spans="1:10" ht="25.5">
      <c r="A677" s="46" t="s">
        <v>114</v>
      </c>
      <c r="B677" s="12" t="s">
        <v>562</v>
      </c>
      <c r="C677" s="13" t="s">
        <v>69</v>
      </c>
      <c r="D677" s="13" t="s">
        <v>67</v>
      </c>
      <c r="E677" s="13" t="s">
        <v>517</v>
      </c>
      <c r="F677" s="13" t="s">
        <v>115</v>
      </c>
      <c r="G677" s="14">
        <f t="shared" si="108"/>
        <v>26515.4</v>
      </c>
      <c r="H677" s="87">
        <f t="shared" si="108"/>
        <v>26453.6</v>
      </c>
      <c r="I677" s="14">
        <f t="shared" si="102"/>
        <v>61.80000000000291</v>
      </c>
      <c r="J677" s="77">
        <f t="shared" si="103"/>
        <v>99.76692789850425</v>
      </c>
    </row>
    <row r="678" spans="1:10" ht="12.75">
      <c r="A678" s="46" t="s">
        <v>120</v>
      </c>
      <c r="B678" s="12" t="s">
        <v>562</v>
      </c>
      <c r="C678" s="13" t="s">
        <v>69</v>
      </c>
      <c r="D678" s="13" t="s">
        <v>67</v>
      </c>
      <c r="E678" s="13" t="s">
        <v>517</v>
      </c>
      <c r="F678" s="13" t="s">
        <v>121</v>
      </c>
      <c r="G678" s="14">
        <f>G679+G680</f>
        <v>26515.4</v>
      </c>
      <c r="H678" s="87">
        <f>H679+H680</f>
        <v>26453.6</v>
      </c>
      <c r="I678" s="14">
        <f t="shared" si="102"/>
        <v>61.80000000000291</v>
      </c>
      <c r="J678" s="77">
        <f t="shared" si="103"/>
        <v>99.76692789850425</v>
      </c>
    </row>
    <row r="679" spans="1:10" ht="38.25">
      <c r="A679" s="46" t="s">
        <v>122</v>
      </c>
      <c r="B679" s="12" t="s">
        <v>562</v>
      </c>
      <c r="C679" s="13" t="s">
        <v>69</v>
      </c>
      <c r="D679" s="13" t="s">
        <v>67</v>
      </c>
      <c r="E679" s="13" t="s">
        <v>517</v>
      </c>
      <c r="F679" s="13" t="s">
        <v>123</v>
      </c>
      <c r="G679" s="14">
        <f>25200.4+565+250</f>
        <v>26015.4</v>
      </c>
      <c r="H679" s="87">
        <v>25953.6</v>
      </c>
      <c r="I679" s="14">
        <f t="shared" si="102"/>
        <v>61.80000000000291</v>
      </c>
      <c r="J679" s="77">
        <f t="shared" si="103"/>
        <v>99.76244839595007</v>
      </c>
    </row>
    <row r="680" spans="1:10" ht="12.75">
      <c r="A680" s="46" t="s">
        <v>124</v>
      </c>
      <c r="B680" s="12" t="s">
        <v>562</v>
      </c>
      <c r="C680" s="13" t="s">
        <v>69</v>
      </c>
      <c r="D680" s="13" t="s">
        <v>67</v>
      </c>
      <c r="E680" s="13" t="s">
        <v>517</v>
      </c>
      <c r="F680" s="13" t="s">
        <v>125</v>
      </c>
      <c r="G680" s="14">
        <v>500</v>
      </c>
      <c r="H680" s="87">
        <v>500</v>
      </c>
      <c r="I680" s="14">
        <f t="shared" si="102"/>
        <v>0</v>
      </c>
      <c r="J680" s="77">
        <f t="shared" si="103"/>
        <v>100</v>
      </c>
    </row>
    <row r="681" spans="1:10" ht="25.5">
      <c r="A681" s="60" t="s">
        <v>772</v>
      </c>
      <c r="B681" s="37" t="s">
        <v>562</v>
      </c>
      <c r="C681" s="29" t="s">
        <v>69</v>
      </c>
      <c r="D681" s="29" t="s">
        <v>69</v>
      </c>
      <c r="E681" s="29"/>
      <c r="F681" s="29"/>
      <c r="G681" s="30">
        <f>G689+G698+G704+G728+G682+G710</f>
        <v>6204.400000000001</v>
      </c>
      <c r="H681" s="105">
        <f>H689+H698+H704+H728+H682+H710</f>
        <v>6204.3</v>
      </c>
      <c r="I681" s="30">
        <f t="shared" si="102"/>
        <v>0.1000000000003638</v>
      </c>
      <c r="J681" s="82">
        <f t="shared" si="103"/>
        <v>99.99838824060345</v>
      </c>
    </row>
    <row r="682" spans="1:10" ht="25.5">
      <c r="A682" s="46" t="s">
        <v>151</v>
      </c>
      <c r="B682" s="12" t="s">
        <v>562</v>
      </c>
      <c r="C682" s="13" t="s">
        <v>69</v>
      </c>
      <c r="D682" s="13" t="s">
        <v>69</v>
      </c>
      <c r="E682" s="13" t="s">
        <v>310</v>
      </c>
      <c r="F682" s="29"/>
      <c r="G682" s="14">
        <f aca="true" t="shared" si="109" ref="G682:H687">G683</f>
        <v>2854.3</v>
      </c>
      <c r="H682" s="87">
        <f t="shared" si="109"/>
        <v>2854.2</v>
      </c>
      <c r="I682" s="14">
        <f t="shared" si="102"/>
        <v>0.1000000000003638</v>
      </c>
      <c r="J682" s="77">
        <f t="shared" si="103"/>
        <v>99.99649651403145</v>
      </c>
    </row>
    <row r="683" spans="1:10" ht="25.5">
      <c r="A683" s="46" t="s">
        <v>572</v>
      </c>
      <c r="B683" s="12" t="s">
        <v>562</v>
      </c>
      <c r="C683" s="13" t="s">
        <v>69</v>
      </c>
      <c r="D683" s="13" t="s">
        <v>69</v>
      </c>
      <c r="E683" s="13" t="s">
        <v>331</v>
      </c>
      <c r="F683" s="13"/>
      <c r="G683" s="14">
        <f t="shared" si="109"/>
        <v>2854.3</v>
      </c>
      <c r="H683" s="87">
        <f t="shared" si="109"/>
        <v>2854.2</v>
      </c>
      <c r="I683" s="14">
        <f t="shared" si="102"/>
        <v>0.1000000000003638</v>
      </c>
      <c r="J683" s="77">
        <f t="shared" si="103"/>
        <v>99.99649651403145</v>
      </c>
    </row>
    <row r="684" spans="1:10" ht="25.5">
      <c r="A684" s="46" t="s">
        <v>332</v>
      </c>
      <c r="B684" s="12" t="s">
        <v>562</v>
      </c>
      <c r="C684" s="13" t="s">
        <v>69</v>
      </c>
      <c r="D684" s="13" t="s">
        <v>69</v>
      </c>
      <c r="E684" s="13" t="s">
        <v>333</v>
      </c>
      <c r="F684" s="13"/>
      <c r="G684" s="14">
        <f t="shared" si="109"/>
        <v>2854.3</v>
      </c>
      <c r="H684" s="87">
        <f t="shared" si="109"/>
        <v>2854.2</v>
      </c>
      <c r="I684" s="14">
        <f t="shared" si="102"/>
        <v>0.1000000000003638</v>
      </c>
      <c r="J684" s="77">
        <f t="shared" si="103"/>
        <v>99.99649651403145</v>
      </c>
    </row>
    <row r="685" spans="1:10" ht="25.5">
      <c r="A685" s="46" t="s">
        <v>598</v>
      </c>
      <c r="B685" s="12" t="s">
        <v>562</v>
      </c>
      <c r="C685" s="13" t="s">
        <v>69</v>
      </c>
      <c r="D685" s="13" t="s">
        <v>69</v>
      </c>
      <c r="E685" s="13" t="s">
        <v>334</v>
      </c>
      <c r="F685" s="13"/>
      <c r="G685" s="14">
        <f t="shared" si="109"/>
        <v>2854.3</v>
      </c>
      <c r="H685" s="87">
        <f t="shared" si="109"/>
        <v>2854.2</v>
      </c>
      <c r="I685" s="14">
        <f t="shared" si="102"/>
        <v>0.1000000000003638</v>
      </c>
      <c r="J685" s="77">
        <f t="shared" si="103"/>
        <v>99.99649651403145</v>
      </c>
    </row>
    <row r="686" spans="1:10" ht="25.5">
      <c r="A686" s="46" t="s">
        <v>114</v>
      </c>
      <c r="B686" s="12" t="s">
        <v>562</v>
      </c>
      <c r="C686" s="13" t="s">
        <v>69</v>
      </c>
      <c r="D686" s="13" t="s">
        <v>69</v>
      </c>
      <c r="E686" s="13" t="s">
        <v>334</v>
      </c>
      <c r="F686" s="13" t="s">
        <v>115</v>
      </c>
      <c r="G686" s="14">
        <f t="shared" si="109"/>
        <v>2854.3</v>
      </c>
      <c r="H686" s="87">
        <f t="shared" si="109"/>
        <v>2854.2</v>
      </c>
      <c r="I686" s="14">
        <f t="shared" si="102"/>
        <v>0.1000000000003638</v>
      </c>
      <c r="J686" s="77">
        <f t="shared" si="103"/>
        <v>99.99649651403145</v>
      </c>
    </row>
    <row r="687" spans="1:10" ht="12.75">
      <c r="A687" s="46" t="s">
        <v>120</v>
      </c>
      <c r="B687" s="12" t="s">
        <v>562</v>
      </c>
      <c r="C687" s="13" t="s">
        <v>69</v>
      </c>
      <c r="D687" s="13" t="s">
        <v>69</v>
      </c>
      <c r="E687" s="13" t="s">
        <v>334</v>
      </c>
      <c r="F687" s="13" t="s">
        <v>121</v>
      </c>
      <c r="G687" s="14">
        <f t="shared" si="109"/>
        <v>2854.3</v>
      </c>
      <c r="H687" s="87">
        <f t="shared" si="109"/>
        <v>2854.2</v>
      </c>
      <c r="I687" s="14">
        <f t="shared" si="102"/>
        <v>0.1000000000003638</v>
      </c>
      <c r="J687" s="77">
        <f t="shared" si="103"/>
        <v>99.99649651403145</v>
      </c>
    </row>
    <row r="688" spans="1:10" ht="12.75">
      <c r="A688" s="46" t="s">
        <v>124</v>
      </c>
      <c r="B688" s="12" t="s">
        <v>562</v>
      </c>
      <c r="C688" s="13" t="s">
        <v>69</v>
      </c>
      <c r="D688" s="13" t="s">
        <v>69</v>
      </c>
      <c r="E688" s="13" t="s">
        <v>334</v>
      </c>
      <c r="F688" s="13" t="s">
        <v>125</v>
      </c>
      <c r="G688" s="14">
        <f>3225.8-371.5</f>
        <v>2854.3</v>
      </c>
      <c r="H688" s="87">
        <v>2854.2</v>
      </c>
      <c r="I688" s="14">
        <f t="shared" si="102"/>
        <v>0.1000000000003638</v>
      </c>
      <c r="J688" s="77">
        <f t="shared" si="103"/>
        <v>99.99649651403145</v>
      </c>
    </row>
    <row r="689" spans="1:10" ht="12.75">
      <c r="A689" s="46" t="s">
        <v>215</v>
      </c>
      <c r="B689" s="12" t="s">
        <v>562</v>
      </c>
      <c r="C689" s="13" t="s">
        <v>69</v>
      </c>
      <c r="D689" s="13" t="s">
        <v>69</v>
      </c>
      <c r="E689" s="45" t="s">
        <v>216</v>
      </c>
      <c r="F689" s="13"/>
      <c r="G689" s="14">
        <f>G690</f>
        <v>323</v>
      </c>
      <c r="H689" s="87">
        <f>H690</f>
        <v>323</v>
      </c>
      <c r="I689" s="14">
        <f t="shared" si="102"/>
        <v>0</v>
      </c>
      <c r="J689" s="77">
        <f t="shared" si="103"/>
        <v>100</v>
      </c>
    </row>
    <row r="690" spans="1:10" ht="25.5">
      <c r="A690" s="46" t="s">
        <v>292</v>
      </c>
      <c r="B690" s="12" t="s">
        <v>562</v>
      </c>
      <c r="C690" s="13" t="s">
        <v>69</v>
      </c>
      <c r="D690" s="13" t="s">
        <v>69</v>
      </c>
      <c r="E690" s="45" t="s">
        <v>462</v>
      </c>
      <c r="F690" s="13"/>
      <c r="G690" s="14">
        <f>G691</f>
        <v>323</v>
      </c>
      <c r="H690" s="87">
        <f>H691</f>
        <v>323</v>
      </c>
      <c r="I690" s="14">
        <f t="shared" si="102"/>
        <v>0</v>
      </c>
      <c r="J690" s="77">
        <f t="shared" si="103"/>
        <v>100</v>
      </c>
    </row>
    <row r="691" spans="1:10" ht="12.75">
      <c r="A691" s="46" t="s">
        <v>217</v>
      </c>
      <c r="B691" s="12" t="s">
        <v>562</v>
      </c>
      <c r="C691" s="13" t="s">
        <v>69</v>
      </c>
      <c r="D691" s="13" t="s">
        <v>69</v>
      </c>
      <c r="E691" s="45" t="s">
        <v>463</v>
      </c>
      <c r="F691" s="13"/>
      <c r="G691" s="14">
        <f>G692+G695</f>
        <v>323</v>
      </c>
      <c r="H691" s="87">
        <f>H692+H695</f>
        <v>323</v>
      </c>
      <c r="I691" s="14">
        <f t="shared" si="102"/>
        <v>0</v>
      </c>
      <c r="J691" s="77">
        <f t="shared" si="103"/>
        <v>100</v>
      </c>
    </row>
    <row r="692" spans="1:10" ht="25.5">
      <c r="A692" s="46" t="s">
        <v>770</v>
      </c>
      <c r="B692" s="12" t="s">
        <v>562</v>
      </c>
      <c r="C692" s="13" t="s">
        <v>69</v>
      </c>
      <c r="D692" s="13" t="s">
        <v>69</v>
      </c>
      <c r="E692" s="45" t="s">
        <v>463</v>
      </c>
      <c r="F692" s="13" t="s">
        <v>113</v>
      </c>
      <c r="G692" s="14">
        <f>G693</f>
        <v>57</v>
      </c>
      <c r="H692" s="87">
        <f>H693</f>
        <v>57</v>
      </c>
      <c r="I692" s="14">
        <f t="shared" si="102"/>
        <v>0</v>
      </c>
      <c r="J692" s="77">
        <f t="shared" si="103"/>
        <v>100</v>
      </c>
    </row>
    <row r="693" spans="1:10" ht="25.5">
      <c r="A693" s="46" t="s">
        <v>106</v>
      </c>
      <c r="B693" s="12" t="s">
        <v>562</v>
      </c>
      <c r="C693" s="13" t="s">
        <v>69</v>
      </c>
      <c r="D693" s="13" t="s">
        <v>69</v>
      </c>
      <c r="E693" s="45" t="s">
        <v>463</v>
      </c>
      <c r="F693" s="13" t="s">
        <v>107</v>
      </c>
      <c r="G693" s="14">
        <f>G694</f>
        <v>57</v>
      </c>
      <c r="H693" s="87">
        <f>H694</f>
        <v>57</v>
      </c>
      <c r="I693" s="14">
        <f t="shared" si="102"/>
        <v>0</v>
      </c>
      <c r="J693" s="77">
        <f t="shared" si="103"/>
        <v>100</v>
      </c>
    </row>
    <row r="694" spans="1:10" ht="25.5">
      <c r="A694" s="46" t="s">
        <v>108</v>
      </c>
      <c r="B694" s="12" t="s">
        <v>562</v>
      </c>
      <c r="C694" s="13" t="s">
        <v>69</v>
      </c>
      <c r="D694" s="13" t="s">
        <v>69</v>
      </c>
      <c r="E694" s="45" t="s">
        <v>463</v>
      </c>
      <c r="F694" s="13" t="s">
        <v>109</v>
      </c>
      <c r="G694" s="14">
        <f>72-15</f>
        <v>57</v>
      </c>
      <c r="H694" s="87">
        <v>57</v>
      </c>
      <c r="I694" s="14">
        <f t="shared" si="102"/>
        <v>0</v>
      </c>
      <c r="J694" s="77">
        <f t="shared" si="103"/>
        <v>100</v>
      </c>
    </row>
    <row r="695" spans="1:10" ht="12.75">
      <c r="A695" s="46" t="s">
        <v>126</v>
      </c>
      <c r="B695" s="12" t="s">
        <v>562</v>
      </c>
      <c r="C695" s="13" t="s">
        <v>69</v>
      </c>
      <c r="D695" s="13" t="s">
        <v>69</v>
      </c>
      <c r="E695" s="45" t="s">
        <v>463</v>
      </c>
      <c r="F695" s="13" t="s">
        <v>127</v>
      </c>
      <c r="G695" s="14">
        <f>G696+G697</f>
        <v>266</v>
      </c>
      <c r="H695" s="87">
        <f>H696+H697</f>
        <v>266</v>
      </c>
      <c r="I695" s="14">
        <f t="shared" si="102"/>
        <v>0</v>
      </c>
      <c r="J695" s="77">
        <f t="shared" si="103"/>
        <v>100</v>
      </c>
    </row>
    <row r="696" spans="1:10" ht="12.75">
      <c r="A696" s="46" t="s">
        <v>158</v>
      </c>
      <c r="B696" s="12" t="s">
        <v>562</v>
      </c>
      <c r="C696" s="13" t="s">
        <v>69</v>
      </c>
      <c r="D696" s="13" t="s">
        <v>69</v>
      </c>
      <c r="E696" s="45" t="s">
        <v>463</v>
      </c>
      <c r="F696" s="13" t="s">
        <v>157</v>
      </c>
      <c r="G696" s="14">
        <f>162+104-50</f>
        <v>216</v>
      </c>
      <c r="H696" s="87">
        <v>216</v>
      </c>
      <c r="I696" s="14">
        <f t="shared" si="102"/>
        <v>0</v>
      </c>
      <c r="J696" s="77">
        <f t="shared" si="103"/>
        <v>100</v>
      </c>
    </row>
    <row r="697" spans="1:10" ht="12.75">
      <c r="A697" s="46" t="s">
        <v>160</v>
      </c>
      <c r="B697" s="12" t="s">
        <v>562</v>
      </c>
      <c r="C697" s="13" t="s">
        <v>69</v>
      </c>
      <c r="D697" s="13" t="s">
        <v>69</v>
      </c>
      <c r="E697" s="45" t="s">
        <v>463</v>
      </c>
      <c r="F697" s="13" t="s">
        <v>159</v>
      </c>
      <c r="G697" s="14">
        <v>50</v>
      </c>
      <c r="H697" s="87">
        <v>50</v>
      </c>
      <c r="I697" s="14">
        <f t="shared" si="102"/>
        <v>0</v>
      </c>
      <c r="J697" s="77">
        <f t="shared" si="103"/>
        <v>100</v>
      </c>
    </row>
    <row r="698" spans="1:10" ht="25.5">
      <c r="A698" s="46" t="s">
        <v>362</v>
      </c>
      <c r="B698" s="12" t="s">
        <v>562</v>
      </c>
      <c r="C698" s="13" t="s">
        <v>69</v>
      </c>
      <c r="D698" s="13" t="s">
        <v>69</v>
      </c>
      <c r="E698" s="45" t="s">
        <v>219</v>
      </c>
      <c r="F698" s="13"/>
      <c r="G698" s="14">
        <f aca="true" t="shared" si="110" ref="G698:H702">G699</f>
        <v>447.6</v>
      </c>
      <c r="H698" s="87">
        <f t="shared" si="110"/>
        <v>447.6</v>
      </c>
      <c r="I698" s="14">
        <f t="shared" si="102"/>
        <v>0</v>
      </c>
      <c r="J698" s="77">
        <f t="shared" si="103"/>
        <v>100</v>
      </c>
    </row>
    <row r="699" spans="1:10" ht="38.25">
      <c r="A699" s="46" t="s">
        <v>578</v>
      </c>
      <c r="B699" s="12" t="s">
        <v>562</v>
      </c>
      <c r="C699" s="13" t="s">
        <v>69</v>
      </c>
      <c r="D699" s="13" t="s">
        <v>69</v>
      </c>
      <c r="E699" s="45" t="s">
        <v>464</v>
      </c>
      <c r="F699" s="13"/>
      <c r="G699" s="14">
        <f t="shared" si="110"/>
        <v>447.6</v>
      </c>
      <c r="H699" s="87">
        <f t="shared" si="110"/>
        <v>447.6</v>
      </c>
      <c r="I699" s="14">
        <f t="shared" si="102"/>
        <v>0</v>
      </c>
      <c r="J699" s="77">
        <f t="shared" si="103"/>
        <v>100</v>
      </c>
    </row>
    <row r="700" spans="1:10" ht="12.75">
      <c r="A700" s="46" t="s">
        <v>218</v>
      </c>
      <c r="B700" s="12" t="s">
        <v>562</v>
      </c>
      <c r="C700" s="13" t="s">
        <v>69</v>
      </c>
      <c r="D700" s="13" t="s">
        <v>69</v>
      </c>
      <c r="E700" s="45" t="s">
        <v>465</v>
      </c>
      <c r="F700" s="13"/>
      <c r="G700" s="14">
        <f t="shared" si="110"/>
        <v>447.6</v>
      </c>
      <c r="H700" s="87">
        <f t="shared" si="110"/>
        <v>447.6</v>
      </c>
      <c r="I700" s="14">
        <f t="shared" si="102"/>
        <v>0</v>
      </c>
      <c r="J700" s="77">
        <f t="shared" si="103"/>
        <v>100</v>
      </c>
    </row>
    <row r="701" spans="1:10" ht="25.5">
      <c r="A701" s="46" t="s">
        <v>114</v>
      </c>
      <c r="B701" s="12" t="s">
        <v>562</v>
      </c>
      <c r="C701" s="13" t="s">
        <v>69</v>
      </c>
      <c r="D701" s="13" t="s">
        <v>69</v>
      </c>
      <c r="E701" s="45" t="s">
        <v>465</v>
      </c>
      <c r="F701" s="13" t="s">
        <v>115</v>
      </c>
      <c r="G701" s="14">
        <f t="shared" si="110"/>
        <v>447.6</v>
      </c>
      <c r="H701" s="87">
        <f t="shared" si="110"/>
        <v>447.6</v>
      </c>
      <c r="I701" s="14">
        <f t="shared" si="102"/>
        <v>0</v>
      </c>
      <c r="J701" s="77">
        <f t="shared" si="103"/>
        <v>100</v>
      </c>
    </row>
    <row r="702" spans="1:10" ht="12.75">
      <c r="A702" s="46" t="s">
        <v>120</v>
      </c>
      <c r="B702" s="12" t="s">
        <v>562</v>
      </c>
      <c r="C702" s="13" t="s">
        <v>69</v>
      </c>
      <c r="D702" s="13" t="s">
        <v>69</v>
      </c>
      <c r="E702" s="45" t="s">
        <v>465</v>
      </c>
      <c r="F702" s="13" t="s">
        <v>121</v>
      </c>
      <c r="G702" s="14">
        <f t="shared" si="110"/>
        <v>447.6</v>
      </c>
      <c r="H702" s="87">
        <f t="shared" si="110"/>
        <v>447.6</v>
      </c>
      <c r="I702" s="14">
        <f t="shared" si="102"/>
        <v>0</v>
      </c>
      <c r="J702" s="77">
        <f t="shared" si="103"/>
        <v>100</v>
      </c>
    </row>
    <row r="703" spans="1:10" ht="12.75">
      <c r="A703" s="46" t="s">
        <v>124</v>
      </c>
      <c r="B703" s="12" t="s">
        <v>562</v>
      </c>
      <c r="C703" s="13" t="s">
        <v>69</v>
      </c>
      <c r="D703" s="13" t="s">
        <v>69</v>
      </c>
      <c r="E703" s="45" t="s">
        <v>465</v>
      </c>
      <c r="F703" s="13" t="s">
        <v>125</v>
      </c>
      <c r="G703" s="14">
        <f>440+23-15.4</f>
        <v>447.6</v>
      </c>
      <c r="H703" s="87">
        <v>447.6</v>
      </c>
      <c r="I703" s="14">
        <f t="shared" si="102"/>
        <v>0</v>
      </c>
      <c r="J703" s="77">
        <f t="shared" si="103"/>
        <v>100</v>
      </c>
    </row>
    <row r="704" spans="1:10" ht="25.5">
      <c r="A704" s="46" t="s">
        <v>363</v>
      </c>
      <c r="B704" s="12" t="s">
        <v>562</v>
      </c>
      <c r="C704" s="13" t="s">
        <v>69</v>
      </c>
      <c r="D704" s="13" t="s">
        <v>69</v>
      </c>
      <c r="E704" s="45" t="s">
        <v>221</v>
      </c>
      <c r="F704" s="13"/>
      <c r="G704" s="14">
        <f aca="true" t="shared" si="111" ref="G704:H708">G705</f>
        <v>85.7</v>
      </c>
      <c r="H704" s="87">
        <f t="shared" si="111"/>
        <v>85.7</v>
      </c>
      <c r="I704" s="14">
        <f t="shared" si="102"/>
        <v>0</v>
      </c>
      <c r="J704" s="77">
        <f t="shared" si="103"/>
        <v>100</v>
      </c>
    </row>
    <row r="705" spans="1:10" ht="31.5" customHeight="1">
      <c r="A705" s="46" t="s">
        <v>293</v>
      </c>
      <c r="B705" s="12" t="s">
        <v>562</v>
      </c>
      <c r="C705" s="13" t="s">
        <v>69</v>
      </c>
      <c r="D705" s="13" t="s">
        <v>69</v>
      </c>
      <c r="E705" s="45" t="s">
        <v>466</v>
      </c>
      <c r="F705" s="13"/>
      <c r="G705" s="14">
        <f t="shared" si="111"/>
        <v>85.7</v>
      </c>
      <c r="H705" s="87">
        <f t="shared" si="111"/>
        <v>85.7</v>
      </c>
      <c r="I705" s="14">
        <f t="shared" si="102"/>
        <v>0</v>
      </c>
      <c r="J705" s="77">
        <f t="shared" si="103"/>
        <v>100</v>
      </c>
    </row>
    <row r="706" spans="1:10" ht="12.75">
      <c r="A706" s="46" t="s">
        <v>220</v>
      </c>
      <c r="B706" s="12" t="s">
        <v>562</v>
      </c>
      <c r="C706" s="13" t="s">
        <v>69</v>
      </c>
      <c r="D706" s="13" t="s">
        <v>69</v>
      </c>
      <c r="E706" s="45" t="s">
        <v>467</v>
      </c>
      <c r="F706" s="13"/>
      <c r="G706" s="14">
        <f t="shared" si="111"/>
        <v>85.7</v>
      </c>
      <c r="H706" s="87">
        <f t="shared" si="111"/>
        <v>85.7</v>
      </c>
      <c r="I706" s="14">
        <f t="shared" si="102"/>
        <v>0</v>
      </c>
      <c r="J706" s="77">
        <f t="shared" si="103"/>
        <v>100</v>
      </c>
    </row>
    <row r="707" spans="1:10" ht="25.5">
      <c r="A707" s="46" t="s">
        <v>114</v>
      </c>
      <c r="B707" s="12" t="s">
        <v>562</v>
      </c>
      <c r="C707" s="13" t="s">
        <v>69</v>
      </c>
      <c r="D707" s="13" t="s">
        <v>69</v>
      </c>
      <c r="E707" s="45" t="s">
        <v>467</v>
      </c>
      <c r="F707" s="13" t="s">
        <v>115</v>
      </c>
      <c r="G707" s="14">
        <f t="shared" si="111"/>
        <v>85.7</v>
      </c>
      <c r="H707" s="87">
        <f t="shared" si="111"/>
        <v>85.7</v>
      </c>
      <c r="I707" s="14">
        <f t="shared" si="102"/>
        <v>0</v>
      </c>
      <c r="J707" s="77">
        <f t="shared" si="103"/>
        <v>100</v>
      </c>
    </row>
    <row r="708" spans="1:10" ht="12.75">
      <c r="A708" s="46" t="s">
        <v>120</v>
      </c>
      <c r="B708" s="12" t="s">
        <v>562</v>
      </c>
      <c r="C708" s="13" t="s">
        <v>69</v>
      </c>
      <c r="D708" s="13" t="s">
        <v>69</v>
      </c>
      <c r="E708" s="45" t="s">
        <v>467</v>
      </c>
      <c r="F708" s="13" t="s">
        <v>121</v>
      </c>
      <c r="G708" s="14">
        <f t="shared" si="111"/>
        <v>85.7</v>
      </c>
      <c r="H708" s="87">
        <f t="shared" si="111"/>
        <v>85.7</v>
      </c>
      <c r="I708" s="14">
        <f t="shared" si="102"/>
        <v>0</v>
      </c>
      <c r="J708" s="77">
        <f t="shared" si="103"/>
        <v>100</v>
      </c>
    </row>
    <row r="709" spans="1:10" ht="12.75">
      <c r="A709" s="46" t="s">
        <v>124</v>
      </c>
      <c r="B709" s="12" t="s">
        <v>562</v>
      </c>
      <c r="C709" s="13" t="s">
        <v>69</v>
      </c>
      <c r="D709" s="13" t="s">
        <v>69</v>
      </c>
      <c r="E709" s="45" t="s">
        <v>467</v>
      </c>
      <c r="F709" s="13" t="s">
        <v>125</v>
      </c>
      <c r="G709" s="14">
        <v>85.7</v>
      </c>
      <c r="H709" s="87">
        <v>85.7</v>
      </c>
      <c r="I709" s="14">
        <f t="shared" si="102"/>
        <v>0</v>
      </c>
      <c r="J709" s="77">
        <f t="shared" si="103"/>
        <v>100</v>
      </c>
    </row>
    <row r="710" spans="1:10" ht="12.75">
      <c r="A710" s="46" t="s">
        <v>208</v>
      </c>
      <c r="B710" s="12" t="s">
        <v>562</v>
      </c>
      <c r="C710" s="13" t="s">
        <v>69</v>
      </c>
      <c r="D710" s="13" t="s">
        <v>69</v>
      </c>
      <c r="E710" s="45" t="s">
        <v>210</v>
      </c>
      <c r="F710" s="13"/>
      <c r="G710" s="14">
        <f>G711</f>
        <v>2307</v>
      </c>
      <c r="H710" s="87">
        <f>H711</f>
        <v>2307</v>
      </c>
      <c r="I710" s="14">
        <f t="shared" si="102"/>
        <v>0</v>
      </c>
      <c r="J710" s="77">
        <f t="shared" si="103"/>
        <v>100</v>
      </c>
    </row>
    <row r="711" spans="1:10" ht="25.5">
      <c r="A711" s="46" t="s">
        <v>291</v>
      </c>
      <c r="B711" s="12" t="s">
        <v>562</v>
      </c>
      <c r="C711" s="13" t="s">
        <v>69</v>
      </c>
      <c r="D711" s="13" t="s">
        <v>69</v>
      </c>
      <c r="E711" s="45" t="s">
        <v>468</v>
      </c>
      <c r="F711" s="13"/>
      <c r="G711" s="14">
        <f>G712+G716+G720+G724</f>
        <v>2307</v>
      </c>
      <c r="H711" s="87">
        <f>H712+H716+H720+H724</f>
        <v>2307</v>
      </c>
      <c r="I711" s="14">
        <f t="shared" si="102"/>
        <v>0</v>
      </c>
      <c r="J711" s="77">
        <f t="shared" si="103"/>
        <v>100</v>
      </c>
    </row>
    <row r="712" spans="1:10" ht="12.75">
      <c r="A712" s="46" t="s">
        <v>209</v>
      </c>
      <c r="B712" s="12" t="s">
        <v>562</v>
      </c>
      <c r="C712" s="13" t="s">
        <v>69</v>
      </c>
      <c r="D712" s="13" t="s">
        <v>69</v>
      </c>
      <c r="E712" s="45" t="s">
        <v>469</v>
      </c>
      <c r="F712" s="13"/>
      <c r="G712" s="14">
        <f aca="true" t="shared" si="112" ref="G712:H714">G713</f>
        <v>1948.1000000000001</v>
      </c>
      <c r="H712" s="87">
        <f t="shared" si="112"/>
        <v>1948.1</v>
      </c>
      <c r="I712" s="14">
        <f t="shared" si="102"/>
        <v>0</v>
      </c>
      <c r="J712" s="77">
        <f t="shared" si="103"/>
        <v>99.99999999999999</v>
      </c>
    </row>
    <row r="713" spans="1:10" ht="25.5">
      <c r="A713" s="46" t="s">
        <v>114</v>
      </c>
      <c r="B713" s="12" t="s">
        <v>562</v>
      </c>
      <c r="C713" s="13" t="s">
        <v>69</v>
      </c>
      <c r="D713" s="13" t="s">
        <v>69</v>
      </c>
      <c r="E713" s="45" t="s">
        <v>469</v>
      </c>
      <c r="F713" s="13" t="s">
        <v>115</v>
      </c>
      <c r="G713" s="14">
        <f t="shared" si="112"/>
        <v>1948.1000000000001</v>
      </c>
      <c r="H713" s="87">
        <f t="shared" si="112"/>
        <v>1948.1</v>
      </c>
      <c r="I713" s="14">
        <f t="shared" si="102"/>
        <v>0</v>
      </c>
      <c r="J713" s="77">
        <f t="shared" si="103"/>
        <v>99.99999999999999</v>
      </c>
    </row>
    <row r="714" spans="1:10" ht="12.75">
      <c r="A714" s="46" t="s">
        <v>120</v>
      </c>
      <c r="B714" s="12" t="s">
        <v>562</v>
      </c>
      <c r="C714" s="13" t="s">
        <v>69</v>
      </c>
      <c r="D714" s="13" t="s">
        <v>69</v>
      </c>
      <c r="E714" s="45" t="s">
        <v>469</v>
      </c>
      <c r="F714" s="13" t="s">
        <v>121</v>
      </c>
      <c r="G714" s="14">
        <f t="shared" si="112"/>
        <v>1948.1000000000001</v>
      </c>
      <c r="H714" s="87">
        <f t="shared" si="112"/>
        <v>1948.1</v>
      </c>
      <c r="I714" s="14">
        <f aca="true" t="shared" si="113" ref="I714:I777">G714-H714</f>
        <v>0</v>
      </c>
      <c r="J714" s="77">
        <f aca="true" t="shared" si="114" ref="J714:J777">H714/G714*100</f>
        <v>99.99999999999999</v>
      </c>
    </row>
    <row r="715" spans="1:10" ht="12.75">
      <c r="A715" s="46" t="s">
        <v>124</v>
      </c>
      <c r="B715" s="12" t="s">
        <v>562</v>
      </c>
      <c r="C715" s="13" t="s">
        <v>69</v>
      </c>
      <c r="D715" s="13" t="s">
        <v>69</v>
      </c>
      <c r="E715" s="45" t="s">
        <v>469</v>
      </c>
      <c r="F715" s="13" t="s">
        <v>125</v>
      </c>
      <c r="G715" s="14">
        <f>538.2+1996.4+238.7-825.2</f>
        <v>1948.1000000000001</v>
      </c>
      <c r="H715" s="87">
        <v>1948.1</v>
      </c>
      <c r="I715" s="14">
        <f t="shared" si="113"/>
        <v>0</v>
      </c>
      <c r="J715" s="77">
        <f t="shared" si="114"/>
        <v>99.99999999999999</v>
      </c>
    </row>
    <row r="716" spans="1:10" ht="25.5">
      <c r="A716" s="46" t="s">
        <v>214</v>
      </c>
      <c r="B716" s="12" t="s">
        <v>562</v>
      </c>
      <c r="C716" s="13" t="s">
        <v>69</v>
      </c>
      <c r="D716" s="13" t="s">
        <v>69</v>
      </c>
      <c r="E716" s="45" t="s">
        <v>470</v>
      </c>
      <c r="F716" s="13"/>
      <c r="G716" s="14">
        <f aca="true" t="shared" si="115" ref="G716:H718">G717</f>
        <v>13.3</v>
      </c>
      <c r="H716" s="87">
        <f t="shared" si="115"/>
        <v>13.3</v>
      </c>
      <c r="I716" s="14">
        <f t="shared" si="113"/>
        <v>0</v>
      </c>
      <c r="J716" s="77">
        <f t="shared" si="114"/>
        <v>100</v>
      </c>
    </row>
    <row r="717" spans="1:10" ht="25.5">
      <c r="A717" s="46" t="s">
        <v>114</v>
      </c>
      <c r="B717" s="12" t="s">
        <v>562</v>
      </c>
      <c r="C717" s="13" t="s">
        <v>69</v>
      </c>
      <c r="D717" s="13" t="s">
        <v>69</v>
      </c>
      <c r="E717" s="45" t="s">
        <v>470</v>
      </c>
      <c r="F717" s="13" t="s">
        <v>115</v>
      </c>
      <c r="G717" s="14">
        <f t="shared" si="115"/>
        <v>13.3</v>
      </c>
      <c r="H717" s="87">
        <f t="shared" si="115"/>
        <v>13.3</v>
      </c>
      <c r="I717" s="14">
        <f t="shared" si="113"/>
        <v>0</v>
      </c>
      <c r="J717" s="77">
        <f t="shared" si="114"/>
        <v>100</v>
      </c>
    </row>
    <row r="718" spans="1:10" ht="12.75">
      <c r="A718" s="46" t="s">
        <v>120</v>
      </c>
      <c r="B718" s="12" t="s">
        <v>562</v>
      </c>
      <c r="C718" s="13" t="s">
        <v>69</v>
      </c>
      <c r="D718" s="13" t="s">
        <v>69</v>
      </c>
      <c r="E718" s="45" t="s">
        <v>470</v>
      </c>
      <c r="F718" s="13" t="s">
        <v>121</v>
      </c>
      <c r="G718" s="14">
        <f t="shared" si="115"/>
        <v>13.3</v>
      </c>
      <c r="H718" s="87">
        <f t="shared" si="115"/>
        <v>13.3</v>
      </c>
      <c r="I718" s="14">
        <f t="shared" si="113"/>
        <v>0</v>
      </c>
      <c r="J718" s="77">
        <f t="shared" si="114"/>
        <v>100</v>
      </c>
    </row>
    <row r="719" spans="1:10" ht="12.75">
      <c r="A719" s="46" t="s">
        <v>124</v>
      </c>
      <c r="B719" s="12" t="s">
        <v>562</v>
      </c>
      <c r="C719" s="13" t="s">
        <v>69</v>
      </c>
      <c r="D719" s="13" t="s">
        <v>69</v>
      </c>
      <c r="E719" s="45" t="s">
        <v>470</v>
      </c>
      <c r="F719" s="13" t="s">
        <v>125</v>
      </c>
      <c r="G719" s="14">
        <f>19.8-6.5</f>
        <v>13.3</v>
      </c>
      <c r="H719" s="87">
        <v>13.3</v>
      </c>
      <c r="I719" s="14">
        <f t="shared" si="113"/>
        <v>0</v>
      </c>
      <c r="J719" s="77">
        <f t="shared" si="114"/>
        <v>100</v>
      </c>
    </row>
    <row r="720" spans="1:10" ht="12.75">
      <c r="A720" s="46" t="s">
        <v>211</v>
      </c>
      <c r="B720" s="12" t="s">
        <v>562</v>
      </c>
      <c r="C720" s="13" t="s">
        <v>69</v>
      </c>
      <c r="D720" s="13" t="s">
        <v>69</v>
      </c>
      <c r="E720" s="45" t="s">
        <v>471</v>
      </c>
      <c r="F720" s="13"/>
      <c r="G720" s="14">
        <f aca="true" t="shared" si="116" ref="G720:H722">G721</f>
        <v>239.1</v>
      </c>
      <c r="H720" s="87">
        <f t="shared" si="116"/>
        <v>239.1</v>
      </c>
      <c r="I720" s="14">
        <f t="shared" si="113"/>
        <v>0</v>
      </c>
      <c r="J720" s="77">
        <f t="shared" si="114"/>
        <v>100</v>
      </c>
    </row>
    <row r="721" spans="1:10" ht="25.5">
      <c r="A721" s="46" t="s">
        <v>114</v>
      </c>
      <c r="B721" s="12" t="s">
        <v>562</v>
      </c>
      <c r="C721" s="13" t="s">
        <v>69</v>
      </c>
      <c r="D721" s="13" t="s">
        <v>69</v>
      </c>
      <c r="E721" s="45" t="s">
        <v>471</v>
      </c>
      <c r="F721" s="13" t="s">
        <v>115</v>
      </c>
      <c r="G721" s="14">
        <f t="shared" si="116"/>
        <v>239.1</v>
      </c>
      <c r="H721" s="87">
        <f t="shared" si="116"/>
        <v>239.1</v>
      </c>
      <c r="I721" s="14">
        <f t="shared" si="113"/>
        <v>0</v>
      </c>
      <c r="J721" s="77">
        <f t="shared" si="114"/>
        <v>100</v>
      </c>
    </row>
    <row r="722" spans="1:10" ht="12.75">
      <c r="A722" s="46" t="s">
        <v>120</v>
      </c>
      <c r="B722" s="12" t="s">
        <v>562</v>
      </c>
      <c r="C722" s="13" t="s">
        <v>69</v>
      </c>
      <c r="D722" s="13" t="s">
        <v>69</v>
      </c>
      <c r="E722" s="45" t="s">
        <v>471</v>
      </c>
      <c r="F722" s="13" t="s">
        <v>121</v>
      </c>
      <c r="G722" s="14">
        <f t="shared" si="116"/>
        <v>239.1</v>
      </c>
      <c r="H722" s="87">
        <f t="shared" si="116"/>
        <v>239.1</v>
      </c>
      <c r="I722" s="14">
        <f t="shared" si="113"/>
        <v>0</v>
      </c>
      <c r="J722" s="77">
        <f t="shared" si="114"/>
        <v>100</v>
      </c>
    </row>
    <row r="723" spans="1:10" ht="12.75">
      <c r="A723" s="46" t="s">
        <v>124</v>
      </c>
      <c r="B723" s="12" t="s">
        <v>562</v>
      </c>
      <c r="C723" s="13" t="s">
        <v>69</v>
      </c>
      <c r="D723" s="13" t="s">
        <v>69</v>
      </c>
      <c r="E723" s="45" t="s">
        <v>471</v>
      </c>
      <c r="F723" s="13" t="s">
        <v>125</v>
      </c>
      <c r="G723" s="14">
        <v>239.1</v>
      </c>
      <c r="H723" s="87">
        <v>239.1</v>
      </c>
      <c r="I723" s="14">
        <f t="shared" si="113"/>
        <v>0</v>
      </c>
      <c r="J723" s="77">
        <f t="shared" si="114"/>
        <v>100</v>
      </c>
    </row>
    <row r="724" spans="1:10" ht="25.5">
      <c r="A724" s="46" t="s">
        <v>387</v>
      </c>
      <c r="B724" s="12" t="s">
        <v>562</v>
      </c>
      <c r="C724" s="13" t="s">
        <v>69</v>
      </c>
      <c r="D724" s="13" t="s">
        <v>69</v>
      </c>
      <c r="E724" s="45" t="s">
        <v>472</v>
      </c>
      <c r="F724" s="13"/>
      <c r="G724" s="14">
        <f aca="true" t="shared" si="117" ref="G724:H726">G725</f>
        <v>106.5</v>
      </c>
      <c r="H724" s="87">
        <f t="shared" si="117"/>
        <v>106.5</v>
      </c>
      <c r="I724" s="14">
        <f t="shared" si="113"/>
        <v>0</v>
      </c>
      <c r="J724" s="77">
        <f t="shared" si="114"/>
        <v>100</v>
      </c>
    </row>
    <row r="725" spans="1:10" ht="25.5">
      <c r="A725" s="46" t="s">
        <v>114</v>
      </c>
      <c r="B725" s="12" t="s">
        <v>562</v>
      </c>
      <c r="C725" s="13" t="s">
        <v>69</v>
      </c>
      <c r="D725" s="13" t="s">
        <v>69</v>
      </c>
      <c r="E725" s="45" t="s">
        <v>472</v>
      </c>
      <c r="F725" s="13" t="s">
        <v>115</v>
      </c>
      <c r="G725" s="14">
        <f t="shared" si="117"/>
        <v>106.5</v>
      </c>
      <c r="H725" s="87">
        <f t="shared" si="117"/>
        <v>106.5</v>
      </c>
      <c r="I725" s="14">
        <f t="shared" si="113"/>
        <v>0</v>
      </c>
      <c r="J725" s="77">
        <f t="shared" si="114"/>
        <v>100</v>
      </c>
    </row>
    <row r="726" spans="1:10" ht="12.75">
      <c r="A726" s="46" t="s">
        <v>120</v>
      </c>
      <c r="B726" s="12" t="s">
        <v>562</v>
      </c>
      <c r="C726" s="13" t="s">
        <v>69</v>
      </c>
      <c r="D726" s="13" t="s">
        <v>69</v>
      </c>
      <c r="E726" s="45" t="s">
        <v>472</v>
      </c>
      <c r="F726" s="13" t="s">
        <v>121</v>
      </c>
      <c r="G726" s="14">
        <f t="shared" si="117"/>
        <v>106.5</v>
      </c>
      <c r="H726" s="87">
        <f t="shared" si="117"/>
        <v>106.5</v>
      </c>
      <c r="I726" s="14">
        <f t="shared" si="113"/>
        <v>0</v>
      </c>
      <c r="J726" s="77">
        <f t="shared" si="114"/>
        <v>100</v>
      </c>
    </row>
    <row r="727" spans="1:10" ht="12.75">
      <c r="A727" s="46" t="s">
        <v>124</v>
      </c>
      <c r="B727" s="12" t="s">
        <v>562</v>
      </c>
      <c r="C727" s="13" t="s">
        <v>69</v>
      </c>
      <c r="D727" s="13" t="s">
        <v>69</v>
      </c>
      <c r="E727" s="45" t="s">
        <v>472</v>
      </c>
      <c r="F727" s="13" t="s">
        <v>125</v>
      </c>
      <c r="G727" s="14">
        <v>106.5</v>
      </c>
      <c r="H727" s="87">
        <v>106.5</v>
      </c>
      <c r="I727" s="14">
        <f t="shared" si="113"/>
        <v>0</v>
      </c>
      <c r="J727" s="77">
        <f t="shared" si="114"/>
        <v>100</v>
      </c>
    </row>
    <row r="728" spans="1:10" ht="25.5">
      <c r="A728" s="46" t="s">
        <v>355</v>
      </c>
      <c r="B728" s="12" t="s">
        <v>562</v>
      </c>
      <c r="C728" s="13" t="s">
        <v>69</v>
      </c>
      <c r="D728" s="13" t="s">
        <v>69</v>
      </c>
      <c r="E728" s="45" t="s">
        <v>222</v>
      </c>
      <c r="F728" s="13"/>
      <c r="G728" s="14">
        <f>G729+G734</f>
        <v>186.8</v>
      </c>
      <c r="H728" s="87">
        <f>H729+H734</f>
        <v>186.8</v>
      </c>
      <c r="I728" s="14">
        <f t="shared" si="113"/>
        <v>0</v>
      </c>
      <c r="J728" s="77">
        <f t="shared" si="114"/>
        <v>100</v>
      </c>
    </row>
    <row r="729" spans="1:10" ht="29.25" customHeight="1">
      <c r="A729" s="46" t="s">
        <v>294</v>
      </c>
      <c r="B729" s="12" t="s">
        <v>562</v>
      </c>
      <c r="C729" s="13" t="s">
        <v>69</v>
      </c>
      <c r="D729" s="13" t="s">
        <v>69</v>
      </c>
      <c r="E729" s="45" t="s">
        <v>473</v>
      </c>
      <c r="F729" s="13"/>
      <c r="G729" s="14">
        <f aca="true" t="shared" si="118" ref="G729:H732">G730</f>
        <v>86.8</v>
      </c>
      <c r="H729" s="87">
        <f t="shared" si="118"/>
        <v>86.8</v>
      </c>
      <c r="I729" s="14">
        <f t="shared" si="113"/>
        <v>0</v>
      </c>
      <c r="J729" s="77">
        <f t="shared" si="114"/>
        <v>100</v>
      </c>
    </row>
    <row r="730" spans="1:10" ht="12.75">
      <c r="A730" s="46" t="s">
        <v>386</v>
      </c>
      <c r="B730" s="12" t="s">
        <v>562</v>
      </c>
      <c r="C730" s="13" t="s">
        <v>69</v>
      </c>
      <c r="D730" s="13" t="s">
        <v>69</v>
      </c>
      <c r="E730" s="45" t="s">
        <v>474</v>
      </c>
      <c r="F730" s="13"/>
      <c r="G730" s="14">
        <f t="shared" si="118"/>
        <v>86.8</v>
      </c>
      <c r="H730" s="87">
        <f t="shared" si="118"/>
        <v>86.8</v>
      </c>
      <c r="I730" s="14">
        <f t="shared" si="113"/>
        <v>0</v>
      </c>
      <c r="J730" s="77">
        <f t="shared" si="114"/>
        <v>100</v>
      </c>
    </row>
    <row r="731" spans="1:10" ht="25.5">
      <c r="A731" s="46" t="s">
        <v>114</v>
      </c>
      <c r="B731" s="12" t="s">
        <v>562</v>
      </c>
      <c r="C731" s="13" t="s">
        <v>69</v>
      </c>
      <c r="D731" s="13" t="s">
        <v>69</v>
      </c>
      <c r="E731" s="45" t="s">
        <v>474</v>
      </c>
      <c r="F731" s="13" t="s">
        <v>115</v>
      </c>
      <c r="G731" s="14">
        <f t="shared" si="118"/>
        <v>86.8</v>
      </c>
      <c r="H731" s="87">
        <f t="shared" si="118"/>
        <v>86.8</v>
      </c>
      <c r="I731" s="14">
        <f t="shared" si="113"/>
        <v>0</v>
      </c>
      <c r="J731" s="77">
        <f t="shared" si="114"/>
        <v>100</v>
      </c>
    </row>
    <row r="732" spans="1:10" ht="12.75">
      <c r="A732" s="46" t="s">
        <v>120</v>
      </c>
      <c r="B732" s="12" t="s">
        <v>562</v>
      </c>
      <c r="C732" s="13" t="s">
        <v>69</v>
      </c>
      <c r="D732" s="13" t="s">
        <v>69</v>
      </c>
      <c r="E732" s="45" t="s">
        <v>474</v>
      </c>
      <c r="F732" s="13" t="s">
        <v>121</v>
      </c>
      <c r="G732" s="14">
        <f t="shared" si="118"/>
        <v>86.8</v>
      </c>
      <c r="H732" s="87">
        <f t="shared" si="118"/>
        <v>86.8</v>
      </c>
      <c r="I732" s="14">
        <f t="shared" si="113"/>
        <v>0</v>
      </c>
      <c r="J732" s="77">
        <f t="shared" si="114"/>
        <v>100</v>
      </c>
    </row>
    <row r="733" spans="1:10" ht="12.75">
      <c r="A733" s="46" t="s">
        <v>124</v>
      </c>
      <c r="B733" s="12" t="s">
        <v>562</v>
      </c>
      <c r="C733" s="13" t="s">
        <v>69</v>
      </c>
      <c r="D733" s="13" t="s">
        <v>69</v>
      </c>
      <c r="E733" s="45" t="s">
        <v>474</v>
      </c>
      <c r="F733" s="13" t="s">
        <v>125</v>
      </c>
      <c r="G733" s="14">
        <v>86.8</v>
      </c>
      <c r="H733" s="87">
        <v>86.8</v>
      </c>
      <c r="I733" s="14">
        <f t="shared" si="113"/>
        <v>0</v>
      </c>
      <c r="J733" s="77">
        <f t="shared" si="114"/>
        <v>100</v>
      </c>
    </row>
    <row r="734" spans="1:10" ht="25.5">
      <c r="A734" s="46" t="s">
        <v>295</v>
      </c>
      <c r="B734" s="12" t="s">
        <v>562</v>
      </c>
      <c r="C734" s="13" t="s">
        <v>69</v>
      </c>
      <c r="D734" s="13" t="s">
        <v>69</v>
      </c>
      <c r="E734" s="45" t="s">
        <v>475</v>
      </c>
      <c r="F734" s="13"/>
      <c r="G734" s="14">
        <f aca="true" t="shared" si="119" ref="G734:H737">G735</f>
        <v>100</v>
      </c>
      <c r="H734" s="87">
        <f t="shared" si="119"/>
        <v>100</v>
      </c>
      <c r="I734" s="14">
        <f t="shared" si="113"/>
        <v>0</v>
      </c>
      <c r="J734" s="77">
        <f t="shared" si="114"/>
        <v>100</v>
      </c>
    </row>
    <row r="735" spans="1:10" ht="27" customHeight="1">
      <c r="A735" s="46" t="s">
        <v>223</v>
      </c>
      <c r="B735" s="12" t="s">
        <v>562</v>
      </c>
      <c r="C735" s="13" t="s">
        <v>69</v>
      </c>
      <c r="D735" s="13" t="s">
        <v>69</v>
      </c>
      <c r="E735" s="45" t="s">
        <v>476</v>
      </c>
      <c r="F735" s="13"/>
      <c r="G735" s="14">
        <f t="shared" si="119"/>
        <v>100</v>
      </c>
      <c r="H735" s="87">
        <f t="shared" si="119"/>
        <v>100</v>
      </c>
      <c r="I735" s="14">
        <f t="shared" si="113"/>
        <v>0</v>
      </c>
      <c r="J735" s="77">
        <f t="shared" si="114"/>
        <v>100</v>
      </c>
    </row>
    <row r="736" spans="1:10" ht="12.75">
      <c r="A736" s="46" t="s">
        <v>126</v>
      </c>
      <c r="B736" s="12" t="s">
        <v>562</v>
      </c>
      <c r="C736" s="13" t="s">
        <v>69</v>
      </c>
      <c r="D736" s="13" t="s">
        <v>69</v>
      </c>
      <c r="E736" s="45" t="s">
        <v>476</v>
      </c>
      <c r="F736" s="13" t="s">
        <v>127</v>
      </c>
      <c r="G736" s="14">
        <f t="shared" si="119"/>
        <v>100</v>
      </c>
      <c r="H736" s="87">
        <f t="shared" si="119"/>
        <v>100</v>
      </c>
      <c r="I736" s="14">
        <f t="shared" si="113"/>
        <v>0</v>
      </c>
      <c r="J736" s="77">
        <f t="shared" si="114"/>
        <v>100</v>
      </c>
    </row>
    <row r="737" spans="1:10" ht="12.75">
      <c r="A737" s="46" t="s">
        <v>146</v>
      </c>
      <c r="B737" s="12" t="s">
        <v>562</v>
      </c>
      <c r="C737" s="13" t="s">
        <v>69</v>
      </c>
      <c r="D737" s="13" t="s">
        <v>69</v>
      </c>
      <c r="E737" s="45" t="s">
        <v>476</v>
      </c>
      <c r="F737" s="13" t="s">
        <v>145</v>
      </c>
      <c r="G737" s="14">
        <f t="shared" si="119"/>
        <v>100</v>
      </c>
      <c r="H737" s="87">
        <f t="shared" si="119"/>
        <v>100</v>
      </c>
      <c r="I737" s="14">
        <f t="shared" si="113"/>
        <v>0</v>
      </c>
      <c r="J737" s="77">
        <f t="shared" si="114"/>
        <v>100</v>
      </c>
    </row>
    <row r="738" spans="1:10" ht="25.5">
      <c r="A738" s="46" t="s">
        <v>147</v>
      </c>
      <c r="B738" s="12" t="s">
        <v>562</v>
      </c>
      <c r="C738" s="13" t="s">
        <v>69</v>
      </c>
      <c r="D738" s="13" t="s">
        <v>69</v>
      </c>
      <c r="E738" s="45" t="s">
        <v>476</v>
      </c>
      <c r="F738" s="13" t="s">
        <v>148</v>
      </c>
      <c r="G738" s="14">
        <v>100</v>
      </c>
      <c r="H738" s="87">
        <v>100</v>
      </c>
      <c r="I738" s="14">
        <f t="shared" si="113"/>
        <v>0</v>
      </c>
      <c r="J738" s="77">
        <f t="shared" si="114"/>
        <v>100</v>
      </c>
    </row>
    <row r="739" spans="1:10" ht="12.75">
      <c r="A739" s="60" t="s">
        <v>11</v>
      </c>
      <c r="B739" s="37" t="s">
        <v>562</v>
      </c>
      <c r="C739" s="29" t="s">
        <v>69</v>
      </c>
      <c r="D739" s="29" t="s">
        <v>75</v>
      </c>
      <c r="E739" s="29"/>
      <c r="F739" s="29"/>
      <c r="G739" s="30">
        <f>G740+G754+G771+G801</f>
        <v>37125.700000000004</v>
      </c>
      <c r="H739" s="105">
        <f>H740+H754+H771+H801</f>
        <v>36244.600000000006</v>
      </c>
      <c r="I739" s="30">
        <f t="shared" si="113"/>
        <v>881.0999999999985</v>
      </c>
      <c r="J739" s="82">
        <f t="shared" si="114"/>
        <v>97.62671141554233</v>
      </c>
    </row>
    <row r="740" spans="1:10" ht="12.75">
      <c r="A740" s="46" t="s">
        <v>503</v>
      </c>
      <c r="B740" s="12" t="s">
        <v>562</v>
      </c>
      <c r="C740" s="13" t="s">
        <v>69</v>
      </c>
      <c r="D740" s="13" t="s">
        <v>75</v>
      </c>
      <c r="E740" s="13" t="s">
        <v>252</v>
      </c>
      <c r="F740" s="13"/>
      <c r="G740" s="14">
        <f>G741</f>
        <v>1034.4</v>
      </c>
      <c r="H740" s="87">
        <f>H741</f>
        <v>842.5</v>
      </c>
      <c r="I740" s="14">
        <f t="shared" si="113"/>
        <v>191.9000000000001</v>
      </c>
      <c r="J740" s="77">
        <f t="shared" si="114"/>
        <v>81.44818252126836</v>
      </c>
    </row>
    <row r="741" spans="1:10" ht="12.75">
      <c r="A741" s="46" t="s">
        <v>504</v>
      </c>
      <c r="B741" s="12" t="s">
        <v>562</v>
      </c>
      <c r="C741" s="13" t="s">
        <v>69</v>
      </c>
      <c r="D741" s="13" t="s">
        <v>75</v>
      </c>
      <c r="E741" s="13" t="s">
        <v>501</v>
      </c>
      <c r="F741" s="13"/>
      <c r="G741" s="14">
        <f>G742+G748</f>
        <v>1034.4</v>
      </c>
      <c r="H741" s="87">
        <f>H742+H748</f>
        <v>842.5</v>
      </c>
      <c r="I741" s="14">
        <f t="shared" si="113"/>
        <v>191.9000000000001</v>
      </c>
      <c r="J741" s="77">
        <f t="shared" si="114"/>
        <v>81.44818252126836</v>
      </c>
    </row>
    <row r="742" spans="1:10" ht="42.75" customHeight="1">
      <c r="A742" s="46" t="s">
        <v>381</v>
      </c>
      <c r="B742" s="12" t="s">
        <v>562</v>
      </c>
      <c r="C742" s="13" t="s">
        <v>69</v>
      </c>
      <c r="D742" s="13" t="s">
        <v>75</v>
      </c>
      <c r="E742" s="13" t="s">
        <v>502</v>
      </c>
      <c r="F742" s="13"/>
      <c r="G742" s="14">
        <f>G743</f>
        <v>982.5</v>
      </c>
      <c r="H742" s="87">
        <f>H743</f>
        <v>814.8</v>
      </c>
      <c r="I742" s="14">
        <f t="shared" si="113"/>
        <v>167.70000000000005</v>
      </c>
      <c r="J742" s="77">
        <f t="shared" si="114"/>
        <v>82.93129770992365</v>
      </c>
    </row>
    <row r="743" spans="1:10" ht="38.25">
      <c r="A743" s="46" t="s">
        <v>110</v>
      </c>
      <c r="B743" s="12" t="s">
        <v>562</v>
      </c>
      <c r="C743" s="13" t="s">
        <v>69</v>
      </c>
      <c r="D743" s="13" t="s">
        <v>75</v>
      </c>
      <c r="E743" s="13" t="s">
        <v>502</v>
      </c>
      <c r="F743" s="13" t="s">
        <v>111</v>
      </c>
      <c r="G743" s="14">
        <f>G746+G745</f>
        <v>982.5</v>
      </c>
      <c r="H743" s="87">
        <f>H746+H745</f>
        <v>814.8</v>
      </c>
      <c r="I743" s="14">
        <f t="shared" si="113"/>
        <v>167.70000000000005</v>
      </c>
      <c r="J743" s="77">
        <f t="shared" si="114"/>
        <v>82.93129770992365</v>
      </c>
    </row>
    <row r="744" spans="1:10" ht="12.75">
      <c r="A744" s="69" t="s">
        <v>406</v>
      </c>
      <c r="B744" s="12" t="s">
        <v>562</v>
      </c>
      <c r="C744" s="13" t="s">
        <v>69</v>
      </c>
      <c r="D744" s="13" t="s">
        <v>75</v>
      </c>
      <c r="E744" s="13" t="s">
        <v>502</v>
      </c>
      <c r="F744" s="13" t="s">
        <v>408</v>
      </c>
      <c r="G744" s="14">
        <f>G745</f>
        <v>750</v>
      </c>
      <c r="H744" s="87">
        <f>H745</f>
        <v>698.5</v>
      </c>
      <c r="I744" s="14">
        <f t="shared" si="113"/>
        <v>51.5</v>
      </c>
      <c r="J744" s="77">
        <f t="shared" si="114"/>
        <v>93.13333333333334</v>
      </c>
    </row>
    <row r="745" spans="1:10" ht="12.75" customHeight="1">
      <c r="A745" s="46" t="s">
        <v>574</v>
      </c>
      <c r="B745" s="12" t="s">
        <v>562</v>
      </c>
      <c r="C745" s="13" t="s">
        <v>69</v>
      </c>
      <c r="D745" s="13" t="s">
        <v>75</v>
      </c>
      <c r="E745" s="13" t="s">
        <v>502</v>
      </c>
      <c r="F745" s="13" t="s">
        <v>407</v>
      </c>
      <c r="G745" s="14">
        <f>600+240-90</f>
        <v>750</v>
      </c>
      <c r="H745" s="87">
        <v>698.5</v>
      </c>
      <c r="I745" s="14">
        <f t="shared" si="113"/>
        <v>51.5</v>
      </c>
      <c r="J745" s="77">
        <f t="shared" si="114"/>
        <v>93.13333333333334</v>
      </c>
    </row>
    <row r="746" spans="1:10" ht="12.75">
      <c r="A746" s="46" t="s">
        <v>101</v>
      </c>
      <c r="B746" s="12" t="s">
        <v>562</v>
      </c>
      <c r="C746" s="13" t="s">
        <v>69</v>
      </c>
      <c r="D746" s="13" t="s">
        <v>75</v>
      </c>
      <c r="E746" s="13" t="s">
        <v>502</v>
      </c>
      <c r="F746" s="13" t="s">
        <v>102</v>
      </c>
      <c r="G746" s="14">
        <f>G747</f>
        <v>232.5</v>
      </c>
      <c r="H746" s="87">
        <f>H747</f>
        <v>116.3</v>
      </c>
      <c r="I746" s="14">
        <f t="shared" si="113"/>
        <v>116.2</v>
      </c>
      <c r="J746" s="77">
        <f t="shared" si="114"/>
        <v>50.02150537634409</v>
      </c>
    </row>
    <row r="747" spans="1:10" ht="25.5">
      <c r="A747" s="46" t="s">
        <v>104</v>
      </c>
      <c r="B747" s="12" t="s">
        <v>562</v>
      </c>
      <c r="C747" s="13" t="s">
        <v>69</v>
      </c>
      <c r="D747" s="13" t="s">
        <v>75</v>
      </c>
      <c r="E747" s="13" t="s">
        <v>502</v>
      </c>
      <c r="F747" s="13" t="s">
        <v>105</v>
      </c>
      <c r="G747" s="14">
        <f>254-21.5</f>
        <v>232.5</v>
      </c>
      <c r="H747" s="87">
        <v>116.3</v>
      </c>
      <c r="I747" s="14">
        <f t="shared" si="113"/>
        <v>116.2</v>
      </c>
      <c r="J747" s="77">
        <f t="shared" si="114"/>
        <v>50.02150537634409</v>
      </c>
    </row>
    <row r="748" spans="1:10" ht="12.75">
      <c r="A748" s="46" t="s">
        <v>272</v>
      </c>
      <c r="B748" s="12" t="s">
        <v>562</v>
      </c>
      <c r="C748" s="13" t="s">
        <v>69</v>
      </c>
      <c r="D748" s="13" t="s">
        <v>75</v>
      </c>
      <c r="E748" s="13" t="s">
        <v>505</v>
      </c>
      <c r="F748" s="13"/>
      <c r="G748" s="14">
        <f>G749</f>
        <v>51.9</v>
      </c>
      <c r="H748" s="87">
        <f>H749</f>
        <v>27.7</v>
      </c>
      <c r="I748" s="14">
        <f t="shared" si="113"/>
        <v>24.2</v>
      </c>
      <c r="J748" s="77">
        <f t="shared" si="114"/>
        <v>53.371868978805395</v>
      </c>
    </row>
    <row r="749" spans="1:10" ht="38.25">
      <c r="A749" s="46" t="s">
        <v>110</v>
      </c>
      <c r="B749" s="12" t="s">
        <v>562</v>
      </c>
      <c r="C749" s="13" t="s">
        <v>69</v>
      </c>
      <c r="D749" s="13" t="s">
        <v>75</v>
      </c>
      <c r="E749" s="13" t="s">
        <v>505</v>
      </c>
      <c r="F749" s="13" t="s">
        <v>111</v>
      </c>
      <c r="G749" s="14">
        <f>G750+G752</f>
        <v>51.9</v>
      </c>
      <c r="H749" s="87">
        <f>H750+H752</f>
        <v>27.7</v>
      </c>
      <c r="I749" s="14">
        <f t="shared" si="113"/>
        <v>24.2</v>
      </c>
      <c r="J749" s="77">
        <f t="shared" si="114"/>
        <v>53.371868978805395</v>
      </c>
    </row>
    <row r="750" spans="1:10" ht="12.75">
      <c r="A750" s="69" t="s">
        <v>406</v>
      </c>
      <c r="B750" s="12" t="s">
        <v>562</v>
      </c>
      <c r="C750" s="13" t="s">
        <v>69</v>
      </c>
      <c r="D750" s="13" t="s">
        <v>75</v>
      </c>
      <c r="E750" s="13" t="s">
        <v>505</v>
      </c>
      <c r="F750" s="13" t="s">
        <v>408</v>
      </c>
      <c r="G750" s="14">
        <f>G751</f>
        <v>30.4</v>
      </c>
      <c r="H750" s="87">
        <f>H751</f>
        <v>23.2</v>
      </c>
      <c r="I750" s="14">
        <f t="shared" si="113"/>
        <v>7.199999999999999</v>
      </c>
      <c r="J750" s="77">
        <f t="shared" si="114"/>
        <v>76.31578947368422</v>
      </c>
    </row>
    <row r="751" spans="1:10" ht="12.75">
      <c r="A751" s="46" t="s">
        <v>574</v>
      </c>
      <c r="B751" s="12" t="s">
        <v>562</v>
      </c>
      <c r="C751" s="13" t="s">
        <v>69</v>
      </c>
      <c r="D751" s="13" t="s">
        <v>75</v>
      </c>
      <c r="E751" s="13" t="s">
        <v>505</v>
      </c>
      <c r="F751" s="13" t="s">
        <v>407</v>
      </c>
      <c r="G751" s="14">
        <f>10.4+20</f>
        <v>30.4</v>
      </c>
      <c r="H751" s="87">
        <v>23.2</v>
      </c>
      <c r="I751" s="14">
        <f t="shared" si="113"/>
        <v>7.199999999999999</v>
      </c>
      <c r="J751" s="77">
        <f t="shared" si="114"/>
        <v>76.31578947368422</v>
      </c>
    </row>
    <row r="752" spans="1:10" ht="12.75">
      <c r="A752" s="46" t="s">
        <v>101</v>
      </c>
      <c r="B752" s="12" t="s">
        <v>562</v>
      </c>
      <c r="C752" s="13" t="s">
        <v>69</v>
      </c>
      <c r="D752" s="13" t="s">
        <v>75</v>
      </c>
      <c r="E752" s="13" t="s">
        <v>505</v>
      </c>
      <c r="F752" s="13" t="s">
        <v>102</v>
      </c>
      <c r="G752" s="14">
        <f>G753</f>
        <v>21.5</v>
      </c>
      <c r="H752" s="87">
        <f>H753</f>
        <v>4.5</v>
      </c>
      <c r="I752" s="14">
        <f t="shared" si="113"/>
        <v>17</v>
      </c>
      <c r="J752" s="77">
        <f t="shared" si="114"/>
        <v>20.930232558139537</v>
      </c>
    </row>
    <row r="753" spans="1:10" ht="25.5">
      <c r="A753" s="46" t="s">
        <v>104</v>
      </c>
      <c r="B753" s="12" t="s">
        <v>562</v>
      </c>
      <c r="C753" s="13" t="s">
        <v>69</v>
      </c>
      <c r="D753" s="13" t="s">
        <v>75</v>
      </c>
      <c r="E753" s="13" t="s">
        <v>505</v>
      </c>
      <c r="F753" s="13" t="s">
        <v>105</v>
      </c>
      <c r="G753" s="14">
        <v>21.5</v>
      </c>
      <c r="H753" s="87">
        <v>4.5</v>
      </c>
      <c r="I753" s="14">
        <f t="shared" si="113"/>
        <v>17</v>
      </c>
      <c r="J753" s="77">
        <f t="shared" si="114"/>
        <v>20.930232558139537</v>
      </c>
    </row>
    <row r="754" spans="1:10" ht="24.75" customHeight="1">
      <c r="A754" s="46" t="s">
        <v>557</v>
      </c>
      <c r="B754" s="12" t="s">
        <v>562</v>
      </c>
      <c r="C754" s="13" t="s">
        <v>69</v>
      </c>
      <c r="D754" s="13" t="s">
        <v>75</v>
      </c>
      <c r="E754" s="13" t="s">
        <v>251</v>
      </c>
      <c r="F754" s="13"/>
      <c r="G754" s="14">
        <f>G755</f>
        <v>8840</v>
      </c>
      <c r="H754" s="87">
        <f>H755</f>
        <v>8526.300000000001</v>
      </c>
      <c r="I754" s="14">
        <f t="shared" si="113"/>
        <v>313.6999999999989</v>
      </c>
      <c r="J754" s="77">
        <f t="shared" si="114"/>
        <v>96.45135746606336</v>
      </c>
    </row>
    <row r="755" spans="1:10" ht="12.75">
      <c r="A755" s="46" t="s">
        <v>50</v>
      </c>
      <c r="B755" s="12" t="s">
        <v>562</v>
      </c>
      <c r="C755" s="13" t="s">
        <v>69</v>
      </c>
      <c r="D755" s="13" t="s">
        <v>75</v>
      </c>
      <c r="E755" s="13" t="s">
        <v>277</v>
      </c>
      <c r="F755" s="13"/>
      <c r="G755" s="14">
        <f>G756+G762</f>
        <v>8840</v>
      </c>
      <c r="H755" s="87">
        <f>H756+H762</f>
        <v>8526.300000000001</v>
      </c>
      <c r="I755" s="14">
        <f t="shared" si="113"/>
        <v>313.6999999999989</v>
      </c>
      <c r="J755" s="77">
        <f t="shared" si="114"/>
        <v>96.45135746606336</v>
      </c>
    </row>
    <row r="756" spans="1:10" ht="12.75">
      <c r="A756" s="46" t="s">
        <v>273</v>
      </c>
      <c r="B756" s="12" t="s">
        <v>562</v>
      </c>
      <c r="C756" s="13" t="s">
        <v>69</v>
      </c>
      <c r="D756" s="13" t="s">
        <v>75</v>
      </c>
      <c r="E756" s="13" t="s">
        <v>278</v>
      </c>
      <c r="F756" s="13"/>
      <c r="G756" s="14">
        <f>G757</f>
        <v>8221.5</v>
      </c>
      <c r="H756" s="87">
        <f>H757</f>
        <v>8041.900000000001</v>
      </c>
      <c r="I756" s="14">
        <f t="shared" si="113"/>
        <v>179.59999999999945</v>
      </c>
      <c r="J756" s="77">
        <f t="shared" si="114"/>
        <v>97.8154837924953</v>
      </c>
    </row>
    <row r="757" spans="1:10" ht="38.25">
      <c r="A757" s="46" t="s">
        <v>110</v>
      </c>
      <c r="B757" s="12" t="s">
        <v>562</v>
      </c>
      <c r="C757" s="13" t="s">
        <v>69</v>
      </c>
      <c r="D757" s="13" t="s">
        <v>75</v>
      </c>
      <c r="E757" s="13" t="s">
        <v>278</v>
      </c>
      <c r="F757" s="13" t="s">
        <v>111</v>
      </c>
      <c r="G757" s="14">
        <f>G758</f>
        <v>8221.5</v>
      </c>
      <c r="H757" s="87">
        <f>H758</f>
        <v>8041.900000000001</v>
      </c>
      <c r="I757" s="14">
        <f t="shared" si="113"/>
        <v>179.59999999999945</v>
      </c>
      <c r="J757" s="77">
        <f t="shared" si="114"/>
        <v>97.8154837924953</v>
      </c>
    </row>
    <row r="758" spans="1:10" ht="12.75">
      <c r="A758" s="46" t="s">
        <v>101</v>
      </c>
      <c r="B758" s="12" t="s">
        <v>562</v>
      </c>
      <c r="C758" s="13" t="s">
        <v>69</v>
      </c>
      <c r="D758" s="13" t="s">
        <v>75</v>
      </c>
      <c r="E758" s="13" t="s">
        <v>278</v>
      </c>
      <c r="F758" s="13" t="s">
        <v>102</v>
      </c>
      <c r="G758" s="14">
        <f>G759+G760+G761</f>
        <v>8221.5</v>
      </c>
      <c r="H758" s="87">
        <f>H759+H760+H761</f>
        <v>8041.900000000001</v>
      </c>
      <c r="I758" s="14">
        <f t="shared" si="113"/>
        <v>179.59999999999945</v>
      </c>
      <c r="J758" s="77">
        <f t="shared" si="114"/>
        <v>97.8154837924953</v>
      </c>
    </row>
    <row r="759" spans="1:10" ht="12.75">
      <c r="A759" s="46" t="s">
        <v>176</v>
      </c>
      <c r="B759" s="12" t="s">
        <v>562</v>
      </c>
      <c r="C759" s="13" t="s">
        <v>69</v>
      </c>
      <c r="D759" s="13" t="s">
        <v>75</v>
      </c>
      <c r="E759" s="13" t="s">
        <v>278</v>
      </c>
      <c r="F759" s="13" t="s">
        <v>103</v>
      </c>
      <c r="G759" s="14">
        <f>6199.2+250.8</f>
        <v>6450</v>
      </c>
      <c r="H759" s="87">
        <v>6345.6</v>
      </c>
      <c r="I759" s="14">
        <f t="shared" si="113"/>
        <v>104.39999999999964</v>
      </c>
      <c r="J759" s="77">
        <f t="shared" si="114"/>
        <v>98.38139534883722</v>
      </c>
    </row>
    <row r="760" spans="1:10" ht="25.5">
      <c r="A760" s="46" t="s">
        <v>104</v>
      </c>
      <c r="B760" s="12" t="s">
        <v>562</v>
      </c>
      <c r="C760" s="13" t="s">
        <v>69</v>
      </c>
      <c r="D760" s="13" t="s">
        <v>75</v>
      </c>
      <c r="E760" s="13" t="s">
        <v>278</v>
      </c>
      <c r="F760" s="13" t="s">
        <v>105</v>
      </c>
      <c r="G760" s="14">
        <f>37.5+60+30</f>
        <v>127.5</v>
      </c>
      <c r="H760" s="87">
        <v>73.5</v>
      </c>
      <c r="I760" s="14">
        <f t="shared" si="113"/>
        <v>54</v>
      </c>
      <c r="J760" s="77">
        <f t="shared" si="114"/>
        <v>57.647058823529406</v>
      </c>
    </row>
    <row r="761" spans="1:10" ht="25.5">
      <c r="A761" s="46" t="s">
        <v>178</v>
      </c>
      <c r="B761" s="12" t="s">
        <v>562</v>
      </c>
      <c r="C761" s="13" t="s">
        <v>69</v>
      </c>
      <c r="D761" s="13" t="s">
        <v>75</v>
      </c>
      <c r="E761" s="13" t="s">
        <v>278</v>
      </c>
      <c r="F761" s="13" t="s">
        <v>177</v>
      </c>
      <c r="G761" s="14">
        <f>1549.8+94.2</f>
        <v>1644</v>
      </c>
      <c r="H761" s="87">
        <v>1622.8</v>
      </c>
      <c r="I761" s="14">
        <f t="shared" si="113"/>
        <v>21.200000000000045</v>
      </c>
      <c r="J761" s="77">
        <f t="shared" si="114"/>
        <v>98.71046228710462</v>
      </c>
    </row>
    <row r="762" spans="1:10" ht="12.75">
      <c r="A762" s="46" t="s">
        <v>274</v>
      </c>
      <c r="B762" s="12" t="s">
        <v>562</v>
      </c>
      <c r="C762" s="13" t="s">
        <v>69</v>
      </c>
      <c r="D762" s="13" t="s">
        <v>75</v>
      </c>
      <c r="E762" s="13" t="s">
        <v>279</v>
      </c>
      <c r="F762" s="13"/>
      <c r="G762" s="14">
        <f>G763+G766</f>
        <v>618.5</v>
      </c>
      <c r="H762" s="87">
        <f>H763+H766</f>
        <v>484.40000000000003</v>
      </c>
      <c r="I762" s="14">
        <f t="shared" si="113"/>
        <v>134.09999999999997</v>
      </c>
      <c r="J762" s="77">
        <f t="shared" si="114"/>
        <v>78.31851253031529</v>
      </c>
    </row>
    <row r="763" spans="1:10" ht="25.5">
      <c r="A763" s="46" t="s">
        <v>770</v>
      </c>
      <c r="B763" s="12" t="s">
        <v>562</v>
      </c>
      <c r="C763" s="13" t="s">
        <v>69</v>
      </c>
      <c r="D763" s="13" t="s">
        <v>75</v>
      </c>
      <c r="E763" s="13" t="s">
        <v>279</v>
      </c>
      <c r="F763" s="13" t="s">
        <v>113</v>
      </c>
      <c r="G763" s="14">
        <f>G764</f>
        <v>612.6</v>
      </c>
      <c r="H763" s="87">
        <f>H764</f>
        <v>480.6</v>
      </c>
      <c r="I763" s="14">
        <f t="shared" si="113"/>
        <v>132</v>
      </c>
      <c r="J763" s="77">
        <f t="shared" si="114"/>
        <v>78.45249755142018</v>
      </c>
    </row>
    <row r="764" spans="1:10" ht="25.5">
      <c r="A764" s="46" t="s">
        <v>106</v>
      </c>
      <c r="B764" s="12" t="s">
        <v>562</v>
      </c>
      <c r="C764" s="13" t="s">
        <v>69</v>
      </c>
      <c r="D764" s="13" t="s">
        <v>75</v>
      </c>
      <c r="E764" s="13" t="s">
        <v>279</v>
      </c>
      <c r="F764" s="13" t="s">
        <v>107</v>
      </c>
      <c r="G764" s="14">
        <f>G765</f>
        <v>612.6</v>
      </c>
      <c r="H764" s="87">
        <f>H765</f>
        <v>480.6</v>
      </c>
      <c r="I764" s="14">
        <f t="shared" si="113"/>
        <v>132</v>
      </c>
      <c r="J764" s="77">
        <f t="shared" si="114"/>
        <v>78.45249755142018</v>
      </c>
    </row>
    <row r="765" spans="1:10" ht="25.5">
      <c r="A765" s="46" t="s">
        <v>108</v>
      </c>
      <c r="B765" s="12" t="s">
        <v>562</v>
      </c>
      <c r="C765" s="13" t="s">
        <v>69</v>
      </c>
      <c r="D765" s="13" t="s">
        <v>75</v>
      </c>
      <c r="E765" s="13" t="s">
        <v>279</v>
      </c>
      <c r="F765" s="13" t="s">
        <v>109</v>
      </c>
      <c r="G765" s="14">
        <f>139.7+49.8+13.3+123.5+5+153.3-2+130</f>
        <v>612.6</v>
      </c>
      <c r="H765" s="87">
        <v>480.6</v>
      </c>
      <c r="I765" s="14">
        <f t="shared" si="113"/>
        <v>132</v>
      </c>
      <c r="J765" s="77">
        <f t="shared" si="114"/>
        <v>78.45249755142018</v>
      </c>
    </row>
    <row r="766" spans="1:10" ht="12.75">
      <c r="A766" s="46" t="s">
        <v>137</v>
      </c>
      <c r="B766" s="12" t="s">
        <v>562</v>
      </c>
      <c r="C766" s="13" t="s">
        <v>69</v>
      </c>
      <c r="D766" s="13" t="s">
        <v>75</v>
      </c>
      <c r="E766" s="13" t="s">
        <v>279</v>
      </c>
      <c r="F766" s="13" t="s">
        <v>138</v>
      </c>
      <c r="G766" s="14">
        <f>G767</f>
        <v>5.9</v>
      </c>
      <c r="H766" s="87">
        <f>H767</f>
        <v>3.8</v>
      </c>
      <c r="I766" s="14">
        <f t="shared" si="113"/>
        <v>2.1000000000000005</v>
      </c>
      <c r="J766" s="77">
        <f t="shared" si="114"/>
        <v>64.40677966101694</v>
      </c>
    </row>
    <row r="767" spans="1:10" ht="12.75">
      <c r="A767" s="46" t="s">
        <v>140</v>
      </c>
      <c r="B767" s="12" t="s">
        <v>562</v>
      </c>
      <c r="C767" s="13" t="s">
        <v>69</v>
      </c>
      <c r="D767" s="13" t="s">
        <v>75</v>
      </c>
      <c r="E767" s="13" t="s">
        <v>279</v>
      </c>
      <c r="F767" s="13" t="s">
        <v>141</v>
      </c>
      <c r="G767" s="14">
        <f>G768+G769+G770</f>
        <v>5.9</v>
      </c>
      <c r="H767" s="87">
        <f>H768+H769+H770</f>
        <v>3.8</v>
      </c>
      <c r="I767" s="14">
        <f t="shared" si="113"/>
        <v>2.1000000000000005</v>
      </c>
      <c r="J767" s="77">
        <f t="shared" si="114"/>
        <v>64.40677966101694</v>
      </c>
    </row>
    <row r="768" spans="1:10" ht="12.75">
      <c r="A768" s="46" t="s">
        <v>142</v>
      </c>
      <c r="B768" s="12" t="s">
        <v>562</v>
      </c>
      <c r="C768" s="13" t="s">
        <v>69</v>
      </c>
      <c r="D768" s="13" t="s">
        <v>75</v>
      </c>
      <c r="E768" s="13" t="s">
        <v>279</v>
      </c>
      <c r="F768" s="13" t="s">
        <v>143</v>
      </c>
      <c r="G768" s="14">
        <v>1</v>
      </c>
      <c r="H768" s="87">
        <v>1</v>
      </c>
      <c r="I768" s="14">
        <f t="shared" si="113"/>
        <v>0</v>
      </c>
      <c r="J768" s="77">
        <f t="shared" si="114"/>
        <v>100</v>
      </c>
    </row>
    <row r="769" spans="1:10" ht="12.75">
      <c r="A769" s="46" t="s">
        <v>179</v>
      </c>
      <c r="B769" s="12" t="s">
        <v>562</v>
      </c>
      <c r="C769" s="13" t="s">
        <v>69</v>
      </c>
      <c r="D769" s="13" t="s">
        <v>75</v>
      </c>
      <c r="E769" s="13" t="s">
        <v>279</v>
      </c>
      <c r="F769" s="13" t="s">
        <v>144</v>
      </c>
      <c r="G769" s="14">
        <f>1+2.9</f>
        <v>3.9</v>
      </c>
      <c r="H769" s="87">
        <v>2.4</v>
      </c>
      <c r="I769" s="14">
        <f t="shared" si="113"/>
        <v>1.5</v>
      </c>
      <c r="J769" s="77">
        <f t="shared" si="114"/>
        <v>61.53846153846154</v>
      </c>
    </row>
    <row r="770" spans="1:10" ht="12.75">
      <c r="A770" s="46" t="s">
        <v>180</v>
      </c>
      <c r="B770" s="12" t="s">
        <v>562</v>
      </c>
      <c r="C770" s="13" t="s">
        <v>69</v>
      </c>
      <c r="D770" s="13" t="s">
        <v>75</v>
      </c>
      <c r="E770" s="13" t="s">
        <v>279</v>
      </c>
      <c r="F770" s="13" t="s">
        <v>181</v>
      </c>
      <c r="G770" s="14">
        <v>1</v>
      </c>
      <c r="H770" s="87">
        <v>0.4</v>
      </c>
      <c r="I770" s="14">
        <f t="shared" si="113"/>
        <v>0.6</v>
      </c>
      <c r="J770" s="77">
        <f t="shared" si="114"/>
        <v>40</v>
      </c>
    </row>
    <row r="771" spans="1:10" ht="38.25">
      <c r="A771" s="46" t="s">
        <v>405</v>
      </c>
      <c r="B771" s="12" t="s">
        <v>562</v>
      </c>
      <c r="C771" s="13" t="s">
        <v>69</v>
      </c>
      <c r="D771" s="13" t="s">
        <v>75</v>
      </c>
      <c r="E771" s="13" t="s">
        <v>266</v>
      </c>
      <c r="F771" s="13"/>
      <c r="G771" s="14">
        <f>G772</f>
        <v>27149.300000000003</v>
      </c>
      <c r="H771" s="87">
        <f>H772</f>
        <v>26773.800000000003</v>
      </c>
      <c r="I771" s="14">
        <f t="shared" si="113"/>
        <v>375.5</v>
      </c>
      <c r="J771" s="77">
        <f t="shared" si="114"/>
        <v>98.61690724991068</v>
      </c>
    </row>
    <row r="772" spans="1:10" ht="25.5">
      <c r="A772" s="46" t="s">
        <v>289</v>
      </c>
      <c r="B772" s="12" t="s">
        <v>562</v>
      </c>
      <c r="C772" s="13" t="s">
        <v>69</v>
      </c>
      <c r="D772" s="13" t="s">
        <v>75</v>
      </c>
      <c r="E772" s="13" t="s">
        <v>518</v>
      </c>
      <c r="F772" s="13"/>
      <c r="G772" s="14">
        <f>G773+G787</f>
        <v>27149.300000000003</v>
      </c>
      <c r="H772" s="87">
        <f>H773+H787</f>
        <v>26773.800000000003</v>
      </c>
      <c r="I772" s="14">
        <f t="shared" si="113"/>
        <v>375.5</v>
      </c>
      <c r="J772" s="77">
        <f t="shared" si="114"/>
        <v>98.61690724991068</v>
      </c>
    </row>
    <row r="773" spans="1:10" ht="12.75">
      <c r="A773" s="46" t="s">
        <v>519</v>
      </c>
      <c r="B773" s="12" t="s">
        <v>562</v>
      </c>
      <c r="C773" s="13" t="s">
        <v>69</v>
      </c>
      <c r="D773" s="13" t="s">
        <v>75</v>
      </c>
      <c r="E773" s="13" t="s">
        <v>554</v>
      </c>
      <c r="F773" s="13"/>
      <c r="G773" s="14">
        <f>G774+G779+G782</f>
        <v>13937.4</v>
      </c>
      <c r="H773" s="87">
        <f>H774+H779+H782</f>
        <v>13841.600000000002</v>
      </c>
      <c r="I773" s="14">
        <f t="shared" si="113"/>
        <v>95.79999999999745</v>
      </c>
      <c r="J773" s="77">
        <f t="shared" si="114"/>
        <v>99.3126408081852</v>
      </c>
    </row>
    <row r="774" spans="1:10" ht="38.25">
      <c r="A774" s="46" t="s">
        <v>110</v>
      </c>
      <c r="B774" s="12" t="s">
        <v>562</v>
      </c>
      <c r="C774" s="13" t="s">
        <v>69</v>
      </c>
      <c r="D774" s="13" t="s">
        <v>75</v>
      </c>
      <c r="E774" s="13" t="s">
        <v>554</v>
      </c>
      <c r="F774" s="13" t="s">
        <v>111</v>
      </c>
      <c r="G774" s="14">
        <f>G775</f>
        <v>12882.5</v>
      </c>
      <c r="H774" s="87">
        <f>H775</f>
        <v>12862.600000000002</v>
      </c>
      <c r="I774" s="14">
        <f t="shared" si="113"/>
        <v>19.899999999997817</v>
      </c>
      <c r="J774" s="77">
        <f t="shared" si="114"/>
        <v>99.84552687754707</v>
      </c>
    </row>
    <row r="775" spans="1:10" ht="12.75">
      <c r="A775" s="69" t="s">
        <v>406</v>
      </c>
      <c r="B775" s="12" t="s">
        <v>562</v>
      </c>
      <c r="C775" s="13" t="s">
        <v>69</v>
      </c>
      <c r="D775" s="13" t="s">
        <v>75</v>
      </c>
      <c r="E775" s="13" t="s">
        <v>554</v>
      </c>
      <c r="F775" s="13" t="s">
        <v>408</v>
      </c>
      <c r="G775" s="14">
        <f>G776+G777+G778</f>
        <v>12882.5</v>
      </c>
      <c r="H775" s="87">
        <f>H776+H777+H778</f>
        <v>12862.600000000002</v>
      </c>
      <c r="I775" s="14">
        <f t="shared" si="113"/>
        <v>19.899999999997817</v>
      </c>
      <c r="J775" s="77">
        <f t="shared" si="114"/>
        <v>99.84552687754707</v>
      </c>
    </row>
    <row r="776" spans="1:10" ht="12.75">
      <c r="A776" s="46" t="s">
        <v>573</v>
      </c>
      <c r="B776" s="12" t="s">
        <v>562</v>
      </c>
      <c r="C776" s="13" t="s">
        <v>69</v>
      </c>
      <c r="D776" s="13" t="s">
        <v>75</v>
      </c>
      <c r="E776" s="13" t="s">
        <v>554</v>
      </c>
      <c r="F776" s="13" t="s">
        <v>409</v>
      </c>
      <c r="G776" s="14">
        <f>10401.5-440</f>
        <v>9961.5</v>
      </c>
      <c r="H776" s="87">
        <v>9953.7</v>
      </c>
      <c r="I776" s="14">
        <f t="shared" si="113"/>
        <v>7.799999999999272</v>
      </c>
      <c r="J776" s="77">
        <f t="shared" si="114"/>
        <v>99.9216985393766</v>
      </c>
    </row>
    <row r="777" spans="1:10" ht="12.75">
      <c r="A777" s="46" t="s">
        <v>574</v>
      </c>
      <c r="B777" s="12" t="s">
        <v>562</v>
      </c>
      <c r="C777" s="13" t="s">
        <v>69</v>
      </c>
      <c r="D777" s="13" t="s">
        <v>75</v>
      </c>
      <c r="E777" s="13" t="s">
        <v>554</v>
      </c>
      <c r="F777" s="13" t="s">
        <v>407</v>
      </c>
      <c r="G777" s="14">
        <f>5+20+9.6</f>
        <v>34.6</v>
      </c>
      <c r="H777" s="87">
        <v>22.7</v>
      </c>
      <c r="I777" s="14">
        <f t="shared" si="113"/>
        <v>11.900000000000002</v>
      </c>
      <c r="J777" s="77">
        <f t="shared" si="114"/>
        <v>65.60693641618496</v>
      </c>
    </row>
    <row r="778" spans="1:10" ht="25.5">
      <c r="A778" s="46" t="s">
        <v>576</v>
      </c>
      <c r="B778" s="12" t="s">
        <v>562</v>
      </c>
      <c r="C778" s="13" t="s">
        <v>69</v>
      </c>
      <c r="D778" s="13" t="s">
        <v>75</v>
      </c>
      <c r="E778" s="13" t="s">
        <v>554</v>
      </c>
      <c r="F778" s="13" t="s">
        <v>410</v>
      </c>
      <c r="G778" s="14">
        <f>3016.4-130</f>
        <v>2886.4</v>
      </c>
      <c r="H778" s="87">
        <v>2886.2</v>
      </c>
      <c r="I778" s="14">
        <f aca="true" t="shared" si="120" ref="I778:I841">G778-H778</f>
        <v>0.20000000000027285</v>
      </c>
      <c r="J778" s="77">
        <f aca="true" t="shared" si="121" ref="J778:J841">H778/G778*100</f>
        <v>99.9930709534368</v>
      </c>
    </row>
    <row r="779" spans="1:10" ht="25.5">
      <c r="A779" s="46" t="s">
        <v>770</v>
      </c>
      <c r="B779" s="12" t="s">
        <v>562</v>
      </c>
      <c r="C779" s="13" t="s">
        <v>69</v>
      </c>
      <c r="D779" s="13" t="s">
        <v>75</v>
      </c>
      <c r="E779" s="13" t="s">
        <v>554</v>
      </c>
      <c r="F779" s="13" t="s">
        <v>113</v>
      </c>
      <c r="G779" s="14">
        <f>G780</f>
        <v>1047.8</v>
      </c>
      <c r="H779" s="87">
        <f>H780</f>
        <v>975</v>
      </c>
      <c r="I779" s="14">
        <f t="shared" si="120"/>
        <v>72.79999999999995</v>
      </c>
      <c r="J779" s="77">
        <f t="shared" si="121"/>
        <v>93.05210918114145</v>
      </c>
    </row>
    <row r="780" spans="1:10" ht="25.5">
      <c r="A780" s="46" t="s">
        <v>106</v>
      </c>
      <c r="B780" s="12" t="s">
        <v>562</v>
      </c>
      <c r="C780" s="13" t="s">
        <v>69</v>
      </c>
      <c r="D780" s="13" t="s">
        <v>75</v>
      </c>
      <c r="E780" s="13" t="s">
        <v>554</v>
      </c>
      <c r="F780" s="13" t="s">
        <v>107</v>
      </c>
      <c r="G780" s="14">
        <f>G781</f>
        <v>1047.8</v>
      </c>
      <c r="H780" s="87">
        <f>H781</f>
        <v>975</v>
      </c>
      <c r="I780" s="14">
        <f t="shared" si="120"/>
        <v>72.79999999999995</v>
      </c>
      <c r="J780" s="77">
        <f t="shared" si="121"/>
        <v>93.05210918114145</v>
      </c>
    </row>
    <row r="781" spans="1:10" ht="25.5">
      <c r="A781" s="46" t="s">
        <v>108</v>
      </c>
      <c r="B781" s="12" t="s">
        <v>562</v>
      </c>
      <c r="C781" s="13" t="s">
        <v>69</v>
      </c>
      <c r="D781" s="13" t="s">
        <v>75</v>
      </c>
      <c r="E781" s="13" t="s">
        <v>554</v>
      </c>
      <c r="F781" s="13" t="s">
        <v>109</v>
      </c>
      <c r="G781" s="14">
        <f>83.5+49.8+16.6+279.6+200-1+0.1+419.2</f>
        <v>1047.8</v>
      </c>
      <c r="H781" s="87">
        <v>975</v>
      </c>
      <c r="I781" s="14">
        <f t="shared" si="120"/>
        <v>72.79999999999995</v>
      </c>
      <c r="J781" s="77">
        <f t="shared" si="121"/>
        <v>93.05210918114145</v>
      </c>
    </row>
    <row r="782" spans="1:10" ht="12.75">
      <c r="A782" s="46" t="s">
        <v>137</v>
      </c>
      <c r="B782" s="12" t="s">
        <v>562</v>
      </c>
      <c r="C782" s="13" t="s">
        <v>69</v>
      </c>
      <c r="D782" s="13" t="s">
        <v>75</v>
      </c>
      <c r="E782" s="13" t="s">
        <v>554</v>
      </c>
      <c r="F782" s="13" t="s">
        <v>138</v>
      </c>
      <c r="G782" s="14">
        <f>G783</f>
        <v>7.1</v>
      </c>
      <c r="H782" s="87">
        <f>H783</f>
        <v>4</v>
      </c>
      <c r="I782" s="14">
        <f t="shared" si="120"/>
        <v>3.0999999999999996</v>
      </c>
      <c r="J782" s="77">
        <f t="shared" si="121"/>
        <v>56.33802816901409</v>
      </c>
    </row>
    <row r="783" spans="1:10" ht="12.75">
      <c r="A783" s="46" t="s">
        <v>140</v>
      </c>
      <c r="B783" s="12" t="s">
        <v>562</v>
      </c>
      <c r="C783" s="13" t="s">
        <v>69</v>
      </c>
      <c r="D783" s="13" t="s">
        <v>75</v>
      </c>
      <c r="E783" s="13" t="s">
        <v>554</v>
      </c>
      <c r="F783" s="13" t="s">
        <v>141</v>
      </c>
      <c r="G783" s="14">
        <f>G784+G785+G786</f>
        <v>7.1</v>
      </c>
      <c r="H783" s="87">
        <f>H784+H785+H786</f>
        <v>4</v>
      </c>
      <c r="I783" s="14">
        <f t="shared" si="120"/>
        <v>3.0999999999999996</v>
      </c>
      <c r="J783" s="77">
        <f t="shared" si="121"/>
        <v>56.33802816901409</v>
      </c>
    </row>
    <row r="784" spans="1:10" ht="12.75">
      <c r="A784" s="46" t="s">
        <v>142</v>
      </c>
      <c r="B784" s="12" t="s">
        <v>562</v>
      </c>
      <c r="C784" s="13" t="s">
        <v>69</v>
      </c>
      <c r="D784" s="13" t="s">
        <v>75</v>
      </c>
      <c r="E784" s="13" t="s">
        <v>554</v>
      </c>
      <c r="F784" s="13" t="s">
        <v>143</v>
      </c>
      <c r="G784" s="14">
        <v>4</v>
      </c>
      <c r="H784" s="87">
        <v>4</v>
      </c>
      <c r="I784" s="14">
        <f t="shared" si="120"/>
        <v>0</v>
      </c>
      <c r="J784" s="77">
        <f t="shared" si="121"/>
        <v>100</v>
      </c>
    </row>
    <row r="785" spans="1:10" ht="12.75">
      <c r="A785" s="46" t="s">
        <v>179</v>
      </c>
      <c r="B785" s="12" t="s">
        <v>562</v>
      </c>
      <c r="C785" s="13" t="s">
        <v>69</v>
      </c>
      <c r="D785" s="13" t="s">
        <v>75</v>
      </c>
      <c r="E785" s="13" t="s">
        <v>554</v>
      </c>
      <c r="F785" s="13" t="s">
        <v>144</v>
      </c>
      <c r="G785" s="14">
        <v>2.1</v>
      </c>
      <c r="H785" s="87">
        <v>0</v>
      </c>
      <c r="I785" s="14">
        <f t="shared" si="120"/>
        <v>2.1</v>
      </c>
      <c r="J785" s="77">
        <f t="shared" si="121"/>
        <v>0</v>
      </c>
    </row>
    <row r="786" spans="1:10" ht="12.75">
      <c r="A786" s="46" t="s">
        <v>180</v>
      </c>
      <c r="B786" s="12" t="s">
        <v>562</v>
      </c>
      <c r="C786" s="13" t="s">
        <v>69</v>
      </c>
      <c r="D786" s="13" t="s">
        <v>75</v>
      </c>
      <c r="E786" s="13" t="s">
        <v>554</v>
      </c>
      <c r="F786" s="13" t="s">
        <v>181</v>
      </c>
      <c r="G786" s="14">
        <v>1</v>
      </c>
      <c r="H786" s="87">
        <v>0</v>
      </c>
      <c r="I786" s="14">
        <f t="shared" si="120"/>
        <v>1</v>
      </c>
      <c r="J786" s="77">
        <f t="shared" si="121"/>
        <v>0</v>
      </c>
    </row>
    <row r="787" spans="1:10" ht="12.75">
      <c r="A787" s="46" t="s">
        <v>527</v>
      </c>
      <c r="B787" s="12" t="s">
        <v>562</v>
      </c>
      <c r="C787" s="13" t="s">
        <v>69</v>
      </c>
      <c r="D787" s="13" t="s">
        <v>75</v>
      </c>
      <c r="E787" s="13" t="s">
        <v>555</v>
      </c>
      <c r="F787" s="13"/>
      <c r="G787" s="14">
        <f>G788+G793+G796</f>
        <v>13211.900000000001</v>
      </c>
      <c r="H787" s="87">
        <f>H788+H793+H796</f>
        <v>12932.199999999999</v>
      </c>
      <c r="I787" s="14">
        <f t="shared" si="120"/>
        <v>279.70000000000255</v>
      </c>
      <c r="J787" s="77">
        <f t="shared" si="121"/>
        <v>97.88296914145579</v>
      </c>
    </row>
    <row r="788" spans="1:10" ht="38.25">
      <c r="A788" s="46" t="s">
        <v>110</v>
      </c>
      <c r="B788" s="12" t="s">
        <v>562</v>
      </c>
      <c r="C788" s="13" t="s">
        <v>69</v>
      </c>
      <c r="D788" s="13" t="s">
        <v>75</v>
      </c>
      <c r="E788" s="13" t="s">
        <v>555</v>
      </c>
      <c r="F788" s="13" t="s">
        <v>111</v>
      </c>
      <c r="G788" s="14">
        <f>G789</f>
        <v>9464.2</v>
      </c>
      <c r="H788" s="87">
        <f>H789</f>
        <v>9368.4</v>
      </c>
      <c r="I788" s="14">
        <f t="shared" si="120"/>
        <v>95.80000000000109</v>
      </c>
      <c r="J788" s="77">
        <f t="shared" si="121"/>
        <v>98.98776441748906</v>
      </c>
    </row>
    <row r="789" spans="1:10" ht="12.75">
      <c r="A789" s="69" t="s">
        <v>406</v>
      </c>
      <c r="B789" s="12" t="s">
        <v>562</v>
      </c>
      <c r="C789" s="13" t="s">
        <v>69</v>
      </c>
      <c r="D789" s="13" t="s">
        <v>75</v>
      </c>
      <c r="E789" s="13" t="s">
        <v>555</v>
      </c>
      <c r="F789" s="13" t="s">
        <v>408</v>
      </c>
      <c r="G789" s="14">
        <f>G790+G791+G792</f>
        <v>9464.2</v>
      </c>
      <c r="H789" s="87">
        <f>H790+H791+H792</f>
        <v>9368.4</v>
      </c>
      <c r="I789" s="14">
        <f t="shared" si="120"/>
        <v>95.80000000000109</v>
      </c>
      <c r="J789" s="77">
        <f t="shared" si="121"/>
        <v>98.98776441748906</v>
      </c>
    </row>
    <row r="790" spans="1:10" ht="12.75">
      <c r="A790" s="46" t="s">
        <v>573</v>
      </c>
      <c r="B790" s="12" t="s">
        <v>562</v>
      </c>
      <c r="C790" s="13" t="s">
        <v>69</v>
      </c>
      <c r="D790" s="13" t="s">
        <v>75</v>
      </c>
      <c r="E790" s="13" t="s">
        <v>555</v>
      </c>
      <c r="F790" s="13" t="s">
        <v>409</v>
      </c>
      <c r="G790" s="14">
        <f>7691.9-253-404.7</f>
        <v>7034.2</v>
      </c>
      <c r="H790" s="87">
        <v>6964.9</v>
      </c>
      <c r="I790" s="14">
        <f t="shared" si="120"/>
        <v>69.30000000000018</v>
      </c>
      <c r="J790" s="77">
        <f t="shared" si="121"/>
        <v>99.01481334053624</v>
      </c>
    </row>
    <row r="791" spans="1:10" ht="12.75">
      <c r="A791" s="46" t="s">
        <v>574</v>
      </c>
      <c r="B791" s="12" t="s">
        <v>562</v>
      </c>
      <c r="C791" s="13" t="s">
        <v>69</v>
      </c>
      <c r="D791" s="13" t="s">
        <v>75</v>
      </c>
      <c r="E791" s="13" t="s">
        <v>555</v>
      </c>
      <c r="F791" s="13" t="s">
        <v>407</v>
      </c>
      <c r="G791" s="14">
        <f>125+5+185.1+68</f>
        <v>383.1</v>
      </c>
      <c r="H791" s="87">
        <v>366.9</v>
      </c>
      <c r="I791" s="14">
        <f t="shared" si="120"/>
        <v>16.200000000000045</v>
      </c>
      <c r="J791" s="77">
        <f t="shared" si="121"/>
        <v>95.77133907595928</v>
      </c>
    </row>
    <row r="792" spans="1:10" ht="25.5">
      <c r="A792" s="46" t="s">
        <v>576</v>
      </c>
      <c r="B792" s="12" t="s">
        <v>562</v>
      </c>
      <c r="C792" s="13" t="s">
        <v>69</v>
      </c>
      <c r="D792" s="13" t="s">
        <v>75</v>
      </c>
      <c r="E792" s="13" t="s">
        <v>555</v>
      </c>
      <c r="F792" s="13" t="s">
        <v>410</v>
      </c>
      <c r="G792" s="14">
        <f>2230.5-73.7-109.9</f>
        <v>2046.9</v>
      </c>
      <c r="H792" s="87">
        <v>2036.6</v>
      </c>
      <c r="I792" s="14">
        <f t="shared" si="120"/>
        <v>10.300000000000182</v>
      </c>
      <c r="J792" s="77">
        <f t="shared" si="121"/>
        <v>99.49680003908348</v>
      </c>
    </row>
    <row r="793" spans="1:10" ht="25.5">
      <c r="A793" s="46" t="s">
        <v>770</v>
      </c>
      <c r="B793" s="12" t="s">
        <v>562</v>
      </c>
      <c r="C793" s="13" t="s">
        <v>69</v>
      </c>
      <c r="D793" s="13" t="s">
        <v>75</v>
      </c>
      <c r="E793" s="13" t="s">
        <v>555</v>
      </c>
      <c r="F793" s="13" t="s">
        <v>113</v>
      </c>
      <c r="G793" s="14">
        <f>G794</f>
        <v>3591.6000000000004</v>
      </c>
      <c r="H793" s="87">
        <f>H794</f>
        <v>3409.4</v>
      </c>
      <c r="I793" s="14">
        <f t="shared" si="120"/>
        <v>182.20000000000027</v>
      </c>
      <c r="J793" s="77">
        <f t="shared" si="121"/>
        <v>94.92705201024613</v>
      </c>
    </row>
    <row r="794" spans="1:10" ht="25.5">
      <c r="A794" s="46" t="s">
        <v>106</v>
      </c>
      <c r="B794" s="12" t="s">
        <v>562</v>
      </c>
      <c r="C794" s="13" t="s">
        <v>69</v>
      </c>
      <c r="D794" s="13" t="s">
        <v>75</v>
      </c>
      <c r="E794" s="13" t="s">
        <v>555</v>
      </c>
      <c r="F794" s="13" t="s">
        <v>107</v>
      </c>
      <c r="G794" s="14">
        <f>G795</f>
        <v>3591.6000000000004</v>
      </c>
      <c r="H794" s="87">
        <f>H795</f>
        <v>3409.4</v>
      </c>
      <c r="I794" s="14">
        <f t="shared" si="120"/>
        <v>182.20000000000027</v>
      </c>
      <c r="J794" s="77">
        <f t="shared" si="121"/>
        <v>94.92705201024613</v>
      </c>
    </row>
    <row r="795" spans="1:10" ht="25.5">
      <c r="A795" s="46" t="s">
        <v>108</v>
      </c>
      <c r="B795" s="12" t="s">
        <v>562</v>
      </c>
      <c r="C795" s="13" t="s">
        <v>69</v>
      </c>
      <c r="D795" s="13" t="s">
        <v>75</v>
      </c>
      <c r="E795" s="13" t="s">
        <v>555</v>
      </c>
      <c r="F795" s="13" t="s">
        <v>109</v>
      </c>
      <c r="G795" s="14">
        <f>23.4+370.9+53+28+1900+865.6+9-0.1+341.8</f>
        <v>3591.6000000000004</v>
      </c>
      <c r="H795" s="87">
        <v>3409.4</v>
      </c>
      <c r="I795" s="14">
        <f t="shared" si="120"/>
        <v>182.20000000000027</v>
      </c>
      <c r="J795" s="77">
        <f t="shared" si="121"/>
        <v>94.92705201024613</v>
      </c>
    </row>
    <row r="796" spans="1:10" ht="12.75">
      <c r="A796" s="46" t="s">
        <v>137</v>
      </c>
      <c r="B796" s="12" t="s">
        <v>562</v>
      </c>
      <c r="C796" s="13" t="s">
        <v>69</v>
      </c>
      <c r="D796" s="13" t="s">
        <v>75</v>
      </c>
      <c r="E796" s="13" t="s">
        <v>555</v>
      </c>
      <c r="F796" s="13" t="s">
        <v>138</v>
      </c>
      <c r="G796" s="14">
        <f>G797</f>
        <v>156.1</v>
      </c>
      <c r="H796" s="87">
        <f>H797</f>
        <v>154.4</v>
      </c>
      <c r="I796" s="14">
        <f t="shared" si="120"/>
        <v>1.6999999999999886</v>
      </c>
      <c r="J796" s="77">
        <f t="shared" si="121"/>
        <v>98.91095451633569</v>
      </c>
    </row>
    <row r="797" spans="1:10" ht="12.75">
      <c r="A797" s="46" t="s">
        <v>140</v>
      </c>
      <c r="B797" s="12" t="s">
        <v>562</v>
      </c>
      <c r="C797" s="13" t="s">
        <v>69</v>
      </c>
      <c r="D797" s="13" t="s">
        <v>75</v>
      </c>
      <c r="E797" s="13" t="s">
        <v>555</v>
      </c>
      <c r="F797" s="13" t="s">
        <v>141</v>
      </c>
      <c r="G797" s="14">
        <f>G798+G799+G800</f>
        <v>156.1</v>
      </c>
      <c r="H797" s="87">
        <f>H798+H799+H800</f>
        <v>154.4</v>
      </c>
      <c r="I797" s="14">
        <f t="shared" si="120"/>
        <v>1.6999999999999886</v>
      </c>
      <c r="J797" s="77">
        <f t="shared" si="121"/>
        <v>98.91095451633569</v>
      </c>
    </row>
    <row r="798" spans="1:10" ht="12.75">
      <c r="A798" s="46" t="s">
        <v>142</v>
      </c>
      <c r="B798" s="12" t="s">
        <v>562</v>
      </c>
      <c r="C798" s="13" t="s">
        <v>69</v>
      </c>
      <c r="D798" s="13" t="s">
        <v>75</v>
      </c>
      <c r="E798" s="13" t="s">
        <v>555</v>
      </c>
      <c r="F798" s="13" t="s">
        <v>143</v>
      </c>
      <c r="G798" s="14">
        <v>68.5</v>
      </c>
      <c r="H798" s="87">
        <v>66.8</v>
      </c>
      <c r="I798" s="14">
        <f t="shared" si="120"/>
        <v>1.7000000000000028</v>
      </c>
      <c r="J798" s="77">
        <f t="shared" si="121"/>
        <v>97.51824817518248</v>
      </c>
    </row>
    <row r="799" spans="1:10" ht="12.75">
      <c r="A799" s="46" t="s">
        <v>179</v>
      </c>
      <c r="B799" s="12" t="s">
        <v>562</v>
      </c>
      <c r="C799" s="13" t="s">
        <v>69</v>
      </c>
      <c r="D799" s="13" t="s">
        <v>75</v>
      </c>
      <c r="E799" s="13" t="s">
        <v>555</v>
      </c>
      <c r="F799" s="13" t="s">
        <v>144</v>
      </c>
      <c r="G799" s="14">
        <f>43.2+29-35.1</f>
        <v>37.1</v>
      </c>
      <c r="H799" s="87">
        <v>37.1</v>
      </c>
      <c r="I799" s="14">
        <f t="shared" si="120"/>
        <v>0</v>
      </c>
      <c r="J799" s="77">
        <f t="shared" si="121"/>
        <v>100</v>
      </c>
    </row>
    <row r="800" spans="1:10" ht="12.75">
      <c r="A800" s="46" t="s">
        <v>180</v>
      </c>
      <c r="B800" s="12" t="s">
        <v>562</v>
      </c>
      <c r="C800" s="13" t="s">
        <v>69</v>
      </c>
      <c r="D800" s="13" t="s">
        <v>75</v>
      </c>
      <c r="E800" s="13" t="s">
        <v>555</v>
      </c>
      <c r="F800" s="13" t="s">
        <v>181</v>
      </c>
      <c r="G800" s="14">
        <f>1+49.5</f>
        <v>50.5</v>
      </c>
      <c r="H800" s="87">
        <v>50.5</v>
      </c>
      <c r="I800" s="14">
        <f t="shared" si="120"/>
        <v>0</v>
      </c>
      <c r="J800" s="77">
        <f t="shared" si="121"/>
        <v>100</v>
      </c>
    </row>
    <row r="801" spans="1:10" ht="25.5">
      <c r="A801" s="46" t="s">
        <v>364</v>
      </c>
      <c r="B801" s="12" t="s">
        <v>562</v>
      </c>
      <c r="C801" s="13" t="s">
        <v>69</v>
      </c>
      <c r="D801" s="13" t="s">
        <v>75</v>
      </c>
      <c r="E801" s="45" t="s">
        <v>224</v>
      </c>
      <c r="F801" s="13"/>
      <c r="G801" s="14">
        <f>G802</f>
        <v>102</v>
      </c>
      <c r="H801" s="87">
        <f>H802</f>
        <v>102</v>
      </c>
      <c r="I801" s="14">
        <f t="shared" si="120"/>
        <v>0</v>
      </c>
      <c r="J801" s="77">
        <f t="shared" si="121"/>
        <v>100</v>
      </c>
    </row>
    <row r="802" spans="1:10" ht="12.75">
      <c r="A802" s="46" t="s">
        <v>296</v>
      </c>
      <c r="B802" s="12" t="s">
        <v>562</v>
      </c>
      <c r="C802" s="13" t="s">
        <v>69</v>
      </c>
      <c r="D802" s="13" t="s">
        <v>75</v>
      </c>
      <c r="E802" s="45" t="s">
        <v>477</v>
      </c>
      <c r="F802" s="13"/>
      <c r="G802" s="14">
        <f>G807+G803</f>
        <v>102</v>
      </c>
      <c r="H802" s="87">
        <f>H807+H803</f>
        <v>102</v>
      </c>
      <c r="I802" s="14">
        <f t="shared" si="120"/>
        <v>0</v>
      </c>
      <c r="J802" s="77">
        <f t="shared" si="121"/>
        <v>100</v>
      </c>
    </row>
    <row r="803" spans="1:10" ht="12.75">
      <c r="A803" s="46" t="s">
        <v>711</v>
      </c>
      <c r="B803" s="12" t="s">
        <v>562</v>
      </c>
      <c r="C803" s="13" t="s">
        <v>69</v>
      </c>
      <c r="D803" s="13" t="s">
        <v>75</v>
      </c>
      <c r="E803" s="45" t="s">
        <v>478</v>
      </c>
      <c r="F803" s="13"/>
      <c r="G803" s="14">
        <f aca="true" t="shared" si="122" ref="G803:H805">G804</f>
        <v>2</v>
      </c>
      <c r="H803" s="87">
        <f t="shared" si="122"/>
        <v>2</v>
      </c>
      <c r="I803" s="14">
        <f t="shared" si="120"/>
        <v>0</v>
      </c>
      <c r="J803" s="77">
        <f t="shared" si="121"/>
        <v>100</v>
      </c>
    </row>
    <row r="804" spans="1:10" ht="25.5">
      <c r="A804" s="46" t="s">
        <v>770</v>
      </c>
      <c r="B804" s="12" t="s">
        <v>562</v>
      </c>
      <c r="C804" s="13" t="s">
        <v>69</v>
      </c>
      <c r="D804" s="13" t="s">
        <v>75</v>
      </c>
      <c r="E804" s="45" t="s">
        <v>478</v>
      </c>
      <c r="F804" s="13" t="s">
        <v>113</v>
      </c>
      <c r="G804" s="14">
        <f t="shared" si="122"/>
        <v>2</v>
      </c>
      <c r="H804" s="87">
        <f t="shared" si="122"/>
        <v>2</v>
      </c>
      <c r="I804" s="14">
        <f t="shared" si="120"/>
        <v>0</v>
      </c>
      <c r="J804" s="77">
        <f t="shared" si="121"/>
        <v>100</v>
      </c>
    </row>
    <row r="805" spans="1:10" ht="25.5">
      <c r="A805" s="46" t="s">
        <v>106</v>
      </c>
      <c r="B805" s="12" t="s">
        <v>562</v>
      </c>
      <c r="C805" s="13" t="s">
        <v>69</v>
      </c>
      <c r="D805" s="13" t="s">
        <v>75</v>
      </c>
      <c r="E805" s="45" t="s">
        <v>478</v>
      </c>
      <c r="F805" s="13" t="s">
        <v>107</v>
      </c>
      <c r="G805" s="14">
        <f t="shared" si="122"/>
        <v>2</v>
      </c>
      <c r="H805" s="87">
        <f t="shared" si="122"/>
        <v>2</v>
      </c>
      <c r="I805" s="14">
        <f t="shared" si="120"/>
        <v>0</v>
      </c>
      <c r="J805" s="77">
        <f t="shared" si="121"/>
        <v>100</v>
      </c>
    </row>
    <row r="806" spans="1:10" ht="25.5">
      <c r="A806" s="46" t="s">
        <v>108</v>
      </c>
      <c r="B806" s="12" t="s">
        <v>562</v>
      </c>
      <c r="C806" s="13" t="s">
        <v>69</v>
      </c>
      <c r="D806" s="13" t="s">
        <v>75</v>
      </c>
      <c r="E806" s="45" t="s">
        <v>478</v>
      </c>
      <c r="F806" s="13" t="s">
        <v>109</v>
      </c>
      <c r="G806" s="14">
        <v>2</v>
      </c>
      <c r="H806" s="87">
        <v>2</v>
      </c>
      <c r="I806" s="14">
        <f t="shared" si="120"/>
        <v>0</v>
      </c>
      <c r="J806" s="77">
        <f t="shared" si="121"/>
        <v>100</v>
      </c>
    </row>
    <row r="807" spans="1:10" ht="25.5">
      <c r="A807" s="46" t="s">
        <v>225</v>
      </c>
      <c r="B807" s="12" t="s">
        <v>562</v>
      </c>
      <c r="C807" s="13" t="s">
        <v>69</v>
      </c>
      <c r="D807" s="13" t="s">
        <v>75</v>
      </c>
      <c r="E807" s="45" t="s">
        <v>479</v>
      </c>
      <c r="F807" s="13"/>
      <c r="G807" s="14">
        <f>G808+G811</f>
        <v>100</v>
      </c>
      <c r="H807" s="87">
        <f>H808+H811</f>
        <v>100</v>
      </c>
      <c r="I807" s="14">
        <f t="shared" si="120"/>
        <v>0</v>
      </c>
      <c r="J807" s="77">
        <f t="shared" si="121"/>
        <v>100</v>
      </c>
    </row>
    <row r="808" spans="1:10" ht="25.5">
      <c r="A808" s="46" t="s">
        <v>770</v>
      </c>
      <c r="B808" s="12" t="s">
        <v>562</v>
      </c>
      <c r="C808" s="13" t="s">
        <v>69</v>
      </c>
      <c r="D808" s="13" t="s">
        <v>75</v>
      </c>
      <c r="E808" s="45" t="s">
        <v>479</v>
      </c>
      <c r="F808" s="13" t="s">
        <v>113</v>
      </c>
      <c r="G808" s="14">
        <f>G809</f>
        <v>70</v>
      </c>
      <c r="H808" s="87">
        <f>H809</f>
        <v>70</v>
      </c>
      <c r="I808" s="14">
        <f t="shared" si="120"/>
        <v>0</v>
      </c>
      <c r="J808" s="77">
        <f t="shared" si="121"/>
        <v>100</v>
      </c>
    </row>
    <row r="809" spans="1:10" ht="25.5">
      <c r="A809" s="46" t="s">
        <v>106</v>
      </c>
      <c r="B809" s="12" t="s">
        <v>562</v>
      </c>
      <c r="C809" s="13" t="s">
        <v>69</v>
      </c>
      <c r="D809" s="13" t="s">
        <v>75</v>
      </c>
      <c r="E809" s="45" t="s">
        <v>479</v>
      </c>
      <c r="F809" s="13" t="s">
        <v>107</v>
      </c>
      <c r="G809" s="14">
        <f>G810</f>
        <v>70</v>
      </c>
      <c r="H809" s="87">
        <f>H810</f>
        <v>70</v>
      </c>
      <c r="I809" s="14">
        <f t="shared" si="120"/>
        <v>0</v>
      </c>
      <c r="J809" s="77">
        <f t="shared" si="121"/>
        <v>100</v>
      </c>
    </row>
    <row r="810" spans="1:10" ht="25.5">
      <c r="A810" s="46" t="s">
        <v>108</v>
      </c>
      <c r="B810" s="12" t="s">
        <v>562</v>
      </c>
      <c r="C810" s="13" t="s">
        <v>69</v>
      </c>
      <c r="D810" s="13" t="s">
        <v>75</v>
      </c>
      <c r="E810" s="45" t="s">
        <v>479</v>
      </c>
      <c r="F810" s="13" t="s">
        <v>109</v>
      </c>
      <c r="G810" s="14">
        <f>70</f>
        <v>70</v>
      </c>
      <c r="H810" s="87">
        <v>70</v>
      </c>
      <c r="I810" s="14">
        <f t="shared" si="120"/>
        <v>0</v>
      </c>
      <c r="J810" s="77">
        <f t="shared" si="121"/>
        <v>100</v>
      </c>
    </row>
    <row r="811" spans="1:10" ht="12.75">
      <c r="A811" s="46" t="s">
        <v>126</v>
      </c>
      <c r="B811" s="12" t="s">
        <v>562</v>
      </c>
      <c r="C811" s="13" t="s">
        <v>69</v>
      </c>
      <c r="D811" s="13" t="s">
        <v>75</v>
      </c>
      <c r="E811" s="45" t="s">
        <v>479</v>
      </c>
      <c r="F811" s="13" t="s">
        <v>127</v>
      </c>
      <c r="G811" s="14">
        <f>G812</f>
        <v>30</v>
      </c>
      <c r="H811" s="87">
        <f>H812</f>
        <v>30</v>
      </c>
      <c r="I811" s="14">
        <f t="shared" si="120"/>
        <v>0</v>
      </c>
      <c r="J811" s="77">
        <f t="shared" si="121"/>
        <v>100</v>
      </c>
    </row>
    <row r="812" spans="1:10" ht="12.75">
      <c r="A812" s="46" t="s">
        <v>160</v>
      </c>
      <c r="B812" s="12" t="s">
        <v>562</v>
      </c>
      <c r="C812" s="13" t="s">
        <v>69</v>
      </c>
      <c r="D812" s="13" t="s">
        <v>75</v>
      </c>
      <c r="E812" s="45" t="s">
        <v>479</v>
      </c>
      <c r="F812" s="13" t="s">
        <v>159</v>
      </c>
      <c r="G812" s="14">
        <f>40-10</f>
        <v>30</v>
      </c>
      <c r="H812" s="87">
        <v>30</v>
      </c>
      <c r="I812" s="14">
        <f t="shared" si="120"/>
        <v>0</v>
      </c>
      <c r="J812" s="77">
        <f t="shared" si="121"/>
        <v>100</v>
      </c>
    </row>
    <row r="813" spans="1:10" ht="25.5">
      <c r="A813" s="60" t="s">
        <v>173</v>
      </c>
      <c r="B813" s="37" t="s">
        <v>563</v>
      </c>
      <c r="C813" s="29"/>
      <c r="D813" s="29"/>
      <c r="E813" s="29"/>
      <c r="F813" s="29"/>
      <c r="G813" s="30">
        <f>G814+G916+G1082+G1094</f>
        <v>86190.9</v>
      </c>
      <c r="H813" s="105">
        <f>H814+H916+H1082+H1094</f>
        <v>85008.23</v>
      </c>
      <c r="I813" s="30">
        <f t="shared" si="120"/>
        <v>1182.6699999999983</v>
      </c>
      <c r="J813" s="82">
        <f t="shared" si="121"/>
        <v>98.62784818350893</v>
      </c>
    </row>
    <row r="814" spans="1:10" ht="12.75">
      <c r="A814" s="60" t="s">
        <v>8</v>
      </c>
      <c r="B814" s="37" t="s">
        <v>563</v>
      </c>
      <c r="C814" s="29" t="s">
        <v>69</v>
      </c>
      <c r="D814" s="29" t="s">
        <v>36</v>
      </c>
      <c r="E814" s="13"/>
      <c r="F814" s="13"/>
      <c r="G814" s="30">
        <f>G815+G862</f>
        <v>24413.9</v>
      </c>
      <c r="H814" s="105">
        <f>H815+H862</f>
        <v>23352.5</v>
      </c>
      <c r="I814" s="30">
        <f t="shared" si="120"/>
        <v>1061.4000000000015</v>
      </c>
      <c r="J814" s="82">
        <f t="shared" si="121"/>
        <v>95.65247666288467</v>
      </c>
    </row>
    <row r="815" spans="1:10" ht="12.75">
      <c r="A815" s="60" t="s">
        <v>10</v>
      </c>
      <c r="B815" s="37" t="s">
        <v>563</v>
      </c>
      <c r="C815" s="29" t="s">
        <v>69</v>
      </c>
      <c r="D815" s="29" t="s">
        <v>67</v>
      </c>
      <c r="E815" s="13"/>
      <c r="F815" s="13"/>
      <c r="G815" s="30">
        <f>G816+G831+G845+G855</f>
        <v>22925.100000000002</v>
      </c>
      <c r="H815" s="105">
        <f>H816+H831+H845+H855</f>
        <v>22539.7</v>
      </c>
      <c r="I815" s="30">
        <f t="shared" si="120"/>
        <v>385.40000000000146</v>
      </c>
      <c r="J815" s="82">
        <f t="shared" si="121"/>
        <v>98.3188732001169</v>
      </c>
    </row>
    <row r="816" spans="1:10" ht="25.5">
      <c r="A816" s="46" t="s">
        <v>151</v>
      </c>
      <c r="B816" s="12" t="s">
        <v>563</v>
      </c>
      <c r="C816" s="13" t="s">
        <v>69</v>
      </c>
      <c r="D816" s="13" t="s">
        <v>67</v>
      </c>
      <c r="E816" s="13" t="s">
        <v>310</v>
      </c>
      <c r="F816" s="13"/>
      <c r="G816" s="14">
        <f>G817</f>
        <v>1698.9</v>
      </c>
      <c r="H816" s="87">
        <f>H817</f>
        <v>1331.2</v>
      </c>
      <c r="I816" s="14">
        <f t="shared" si="120"/>
        <v>367.70000000000005</v>
      </c>
      <c r="J816" s="77">
        <f t="shared" si="121"/>
        <v>78.35658367178763</v>
      </c>
    </row>
    <row r="817" spans="1:10" ht="25.5">
      <c r="A817" s="46" t="s">
        <v>163</v>
      </c>
      <c r="B817" s="12" t="s">
        <v>563</v>
      </c>
      <c r="C817" s="13" t="s">
        <v>69</v>
      </c>
      <c r="D817" s="13" t="s">
        <v>67</v>
      </c>
      <c r="E817" s="13" t="s">
        <v>311</v>
      </c>
      <c r="F817" s="13"/>
      <c r="G817" s="14">
        <f>G818</f>
        <v>1698.9</v>
      </c>
      <c r="H817" s="87">
        <f>H818</f>
        <v>1331.2</v>
      </c>
      <c r="I817" s="14">
        <f t="shared" si="120"/>
        <v>367.70000000000005</v>
      </c>
      <c r="J817" s="77">
        <f t="shared" si="121"/>
        <v>78.35658367178763</v>
      </c>
    </row>
    <row r="818" spans="1:10" ht="12.75">
      <c r="A818" s="46" t="s">
        <v>312</v>
      </c>
      <c r="B818" s="12" t="s">
        <v>563</v>
      </c>
      <c r="C818" s="13" t="s">
        <v>69</v>
      </c>
      <c r="D818" s="13" t="s">
        <v>67</v>
      </c>
      <c r="E818" s="13" t="s">
        <v>313</v>
      </c>
      <c r="F818" s="13"/>
      <c r="G818" s="14">
        <f>G819+G823+G827</f>
        <v>1698.9</v>
      </c>
      <c r="H818" s="87">
        <f>H819+H823+H827</f>
        <v>1331.2</v>
      </c>
      <c r="I818" s="14">
        <f t="shared" si="120"/>
        <v>367.70000000000005</v>
      </c>
      <c r="J818" s="77">
        <f t="shared" si="121"/>
        <v>78.35658367178763</v>
      </c>
    </row>
    <row r="819" spans="1:10" ht="38.25">
      <c r="A819" s="46" t="s">
        <v>394</v>
      </c>
      <c r="B819" s="12" t="s">
        <v>563</v>
      </c>
      <c r="C819" s="13" t="s">
        <v>69</v>
      </c>
      <c r="D819" s="13" t="s">
        <v>67</v>
      </c>
      <c r="E819" s="13" t="s">
        <v>326</v>
      </c>
      <c r="F819" s="13"/>
      <c r="G819" s="14">
        <f aca="true" t="shared" si="123" ref="G819:H821">G820</f>
        <v>270</v>
      </c>
      <c r="H819" s="87">
        <f t="shared" si="123"/>
        <v>254.4</v>
      </c>
      <c r="I819" s="14">
        <f t="shared" si="120"/>
        <v>15.599999999999994</v>
      </c>
      <c r="J819" s="77">
        <f t="shared" si="121"/>
        <v>94.22222222222223</v>
      </c>
    </row>
    <row r="820" spans="1:10" ht="25.5">
      <c r="A820" s="46" t="s">
        <v>114</v>
      </c>
      <c r="B820" s="12" t="s">
        <v>563</v>
      </c>
      <c r="C820" s="13" t="s">
        <v>69</v>
      </c>
      <c r="D820" s="13" t="s">
        <v>67</v>
      </c>
      <c r="E820" s="13" t="s">
        <v>326</v>
      </c>
      <c r="F820" s="13" t="s">
        <v>115</v>
      </c>
      <c r="G820" s="14">
        <f t="shared" si="123"/>
        <v>270</v>
      </c>
      <c r="H820" s="87">
        <f t="shared" si="123"/>
        <v>254.4</v>
      </c>
      <c r="I820" s="14">
        <f t="shared" si="120"/>
        <v>15.599999999999994</v>
      </c>
      <c r="J820" s="77">
        <f t="shared" si="121"/>
        <v>94.22222222222223</v>
      </c>
    </row>
    <row r="821" spans="1:10" ht="12.75">
      <c r="A821" s="46" t="s">
        <v>120</v>
      </c>
      <c r="B821" s="12" t="s">
        <v>563</v>
      </c>
      <c r="C821" s="13" t="s">
        <v>69</v>
      </c>
      <c r="D821" s="13" t="s">
        <v>67</v>
      </c>
      <c r="E821" s="13" t="s">
        <v>326</v>
      </c>
      <c r="F821" s="13" t="s">
        <v>121</v>
      </c>
      <c r="G821" s="14">
        <f t="shared" si="123"/>
        <v>270</v>
      </c>
      <c r="H821" s="87">
        <f t="shared" si="123"/>
        <v>254.4</v>
      </c>
      <c r="I821" s="14">
        <f t="shared" si="120"/>
        <v>15.599999999999994</v>
      </c>
      <c r="J821" s="77">
        <f t="shared" si="121"/>
        <v>94.22222222222223</v>
      </c>
    </row>
    <row r="822" spans="1:10" ht="38.25">
      <c r="A822" s="46" t="s">
        <v>122</v>
      </c>
      <c r="B822" s="12" t="s">
        <v>563</v>
      </c>
      <c r="C822" s="13" t="s">
        <v>69</v>
      </c>
      <c r="D822" s="13" t="s">
        <v>67</v>
      </c>
      <c r="E822" s="13" t="s">
        <v>326</v>
      </c>
      <c r="F822" s="13" t="s">
        <v>123</v>
      </c>
      <c r="G822" s="14">
        <f>337-67</f>
        <v>270</v>
      </c>
      <c r="H822" s="87">
        <v>254.4</v>
      </c>
      <c r="I822" s="14">
        <f t="shared" si="120"/>
        <v>15.599999999999994</v>
      </c>
      <c r="J822" s="77">
        <f t="shared" si="121"/>
        <v>94.22222222222223</v>
      </c>
    </row>
    <row r="823" spans="1:10" ht="51">
      <c r="A823" s="46" t="s">
        <v>570</v>
      </c>
      <c r="B823" s="12" t="s">
        <v>563</v>
      </c>
      <c r="C823" s="13" t="s">
        <v>69</v>
      </c>
      <c r="D823" s="13" t="s">
        <v>67</v>
      </c>
      <c r="E823" s="13" t="s">
        <v>327</v>
      </c>
      <c r="F823" s="13"/>
      <c r="G823" s="14">
        <f aca="true" t="shared" si="124" ref="G823:H825">G824</f>
        <v>550.8</v>
      </c>
      <c r="H823" s="87">
        <f t="shared" si="124"/>
        <v>496.2</v>
      </c>
      <c r="I823" s="14">
        <f t="shared" si="120"/>
        <v>54.599999999999966</v>
      </c>
      <c r="J823" s="77">
        <f t="shared" si="121"/>
        <v>90.08714596949892</v>
      </c>
    </row>
    <row r="824" spans="1:10" ht="25.5">
      <c r="A824" s="46" t="s">
        <v>114</v>
      </c>
      <c r="B824" s="12" t="s">
        <v>563</v>
      </c>
      <c r="C824" s="13" t="s">
        <v>69</v>
      </c>
      <c r="D824" s="13" t="s">
        <v>67</v>
      </c>
      <c r="E824" s="13" t="s">
        <v>327</v>
      </c>
      <c r="F824" s="13" t="s">
        <v>115</v>
      </c>
      <c r="G824" s="14">
        <f t="shared" si="124"/>
        <v>550.8</v>
      </c>
      <c r="H824" s="87">
        <f t="shared" si="124"/>
        <v>496.2</v>
      </c>
      <c r="I824" s="14">
        <f t="shared" si="120"/>
        <v>54.599999999999966</v>
      </c>
      <c r="J824" s="77">
        <f t="shared" si="121"/>
        <v>90.08714596949892</v>
      </c>
    </row>
    <row r="825" spans="1:10" ht="12.75">
      <c r="A825" s="46" t="s">
        <v>120</v>
      </c>
      <c r="B825" s="12" t="s">
        <v>563</v>
      </c>
      <c r="C825" s="13" t="s">
        <v>69</v>
      </c>
      <c r="D825" s="13" t="s">
        <v>67</v>
      </c>
      <c r="E825" s="13" t="s">
        <v>327</v>
      </c>
      <c r="F825" s="13" t="s">
        <v>121</v>
      </c>
      <c r="G825" s="14">
        <f t="shared" si="124"/>
        <v>550.8</v>
      </c>
      <c r="H825" s="87">
        <f t="shared" si="124"/>
        <v>496.2</v>
      </c>
      <c r="I825" s="14">
        <f t="shared" si="120"/>
        <v>54.599999999999966</v>
      </c>
      <c r="J825" s="77">
        <f t="shared" si="121"/>
        <v>90.08714596949892</v>
      </c>
    </row>
    <row r="826" spans="1:10" ht="38.25">
      <c r="A826" s="46" t="s">
        <v>122</v>
      </c>
      <c r="B826" s="12" t="s">
        <v>563</v>
      </c>
      <c r="C826" s="13" t="s">
        <v>69</v>
      </c>
      <c r="D826" s="13" t="s">
        <v>67</v>
      </c>
      <c r="E826" s="13" t="s">
        <v>327</v>
      </c>
      <c r="F826" s="13" t="s">
        <v>123</v>
      </c>
      <c r="G826" s="14">
        <f>583.8-33</f>
        <v>550.8</v>
      </c>
      <c r="H826" s="87">
        <v>496.2</v>
      </c>
      <c r="I826" s="14">
        <f t="shared" si="120"/>
        <v>54.599999999999966</v>
      </c>
      <c r="J826" s="77">
        <f t="shared" si="121"/>
        <v>90.08714596949892</v>
      </c>
    </row>
    <row r="827" spans="1:10" ht="52.5" customHeight="1">
      <c r="A827" s="46" t="s">
        <v>571</v>
      </c>
      <c r="B827" s="12" t="s">
        <v>563</v>
      </c>
      <c r="C827" s="13" t="s">
        <v>69</v>
      </c>
      <c r="D827" s="13" t="s">
        <v>67</v>
      </c>
      <c r="E827" s="13" t="s">
        <v>330</v>
      </c>
      <c r="F827" s="13"/>
      <c r="G827" s="14">
        <f aca="true" t="shared" si="125" ref="G827:H829">G828</f>
        <v>878.1</v>
      </c>
      <c r="H827" s="87">
        <f t="shared" si="125"/>
        <v>580.6</v>
      </c>
      <c r="I827" s="14">
        <f t="shared" si="120"/>
        <v>297.5</v>
      </c>
      <c r="J827" s="77">
        <f t="shared" si="121"/>
        <v>66.12003188702882</v>
      </c>
    </row>
    <row r="828" spans="1:10" ht="25.5">
      <c r="A828" s="46" t="s">
        <v>114</v>
      </c>
      <c r="B828" s="12" t="s">
        <v>563</v>
      </c>
      <c r="C828" s="13" t="s">
        <v>69</v>
      </c>
      <c r="D828" s="13" t="s">
        <v>67</v>
      </c>
      <c r="E828" s="13" t="s">
        <v>330</v>
      </c>
      <c r="F828" s="13" t="s">
        <v>115</v>
      </c>
      <c r="G828" s="14">
        <f t="shared" si="125"/>
        <v>878.1</v>
      </c>
      <c r="H828" s="87">
        <f t="shared" si="125"/>
        <v>580.6</v>
      </c>
      <c r="I828" s="14">
        <f t="shared" si="120"/>
        <v>297.5</v>
      </c>
      <c r="J828" s="77">
        <f t="shared" si="121"/>
        <v>66.12003188702882</v>
      </c>
    </row>
    <row r="829" spans="1:10" ht="12.75">
      <c r="A829" s="46" t="s">
        <v>120</v>
      </c>
      <c r="B829" s="12" t="s">
        <v>563</v>
      </c>
      <c r="C829" s="13" t="s">
        <v>69</v>
      </c>
      <c r="D829" s="13" t="s">
        <v>67</v>
      </c>
      <c r="E829" s="13" t="s">
        <v>330</v>
      </c>
      <c r="F829" s="13" t="s">
        <v>121</v>
      </c>
      <c r="G829" s="14">
        <f t="shared" si="125"/>
        <v>878.1</v>
      </c>
      <c r="H829" s="87">
        <f t="shared" si="125"/>
        <v>580.6</v>
      </c>
      <c r="I829" s="14">
        <f t="shared" si="120"/>
        <v>297.5</v>
      </c>
      <c r="J829" s="77">
        <f t="shared" si="121"/>
        <v>66.12003188702882</v>
      </c>
    </row>
    <row r="830" spans="1:10" ht="12.75">
      <c r="A830" s="46" t="s">
        <v>124</v>
      </c>
      <c r="B830" s="12" t="s">
        <v>563</v>
      </c>
      <c r="C830" s="13" t="s">
        <v>69</v>
      </c>
      <c r="D830" s="13" t="s">
        <v>67</v>
      </c>
      <c r="E830" s="13" t="s">
        <v>330</v>
      </c>
      <c r="F830" s="13" t="s">
        <v>125</v>
      </c>
      <c r="G830" s="14">
        <f>970-91.9</f>
        <v>878.1</v>
      </c>
      <c r="H830" s="87">
        <v>580.6</v>
      </c>
      <c r="I830" s="14">
        <f t="shared" si="120"/>
        <v>297.5</v>
      </c>
      <c r="J830" s="77">
        <f t="shared" si="121"/>
        <v>66.12003188702882</v>
      </c>
    </row>
    <row r="831" spans="1:10" ht="25.5">
      <c r="A831" s="46" t="s">
        <v>361</v>
      </c>
      <c r="B831" s="12" t="s">
        <v>563</v>
      </c>
      <c r="C831" s="13" t="s">
        <v>69</v>
      </c>
      <c r="D831" s="13" t="s">
        <v>67</v>
      </c>
      <c r="E831" s="45" t="s">
        <v>206</v>
      </c>
      <c r="F831" s="13"/>
      <c r="G831" s="14">
        <f>G832</f>
        <v>191.3</v>
      </c>
      <c r="H831" s="87">
        <f>H832</f>
        <v>191.3</v>
      </c>
      <c r="I831" s="14">
        <f t="shared" si="120"/>
        <v>0</v>
      </c>
      <c r="J831" s="77">
        <f t="shared" si="121"/>
        <v>100</v>
      </c>
    </row>
    <row r="832" spans="1:10" ht="25.5">
      <c r="A832" s="46" t="s">
        <v>290</v>
      </c>
      <c r="B832" s="12" t="s">
        <v>563</v>
      </c>
      <c r="C832" s="13" t="s">
        <v>69</v>
      </c>
      <c r="D832" s="13" t="s">
        <v>67</v>
      </c>
      <c r="E832" s="45" t="s">
        <v>453</v>
      </c>
      <c r="F832" s="13"/>
      <c r="G832" s="14">
        <f>G833+G837+G841</f>
        <v>191.3</v>
      </c>
      <c r="H832" s="87">
        <f>H833+H837+H841</f>
        <v>191.3</v>
      </c>
      <c r="I832" s="14">
        <f t="shared" si="120"/>
        <v>0</v>
      </c>
      <c r="J832" s="77">
        <f t="shared" si="121"/>
        <v>100</v>
      </c>
    </row>
    <row r="833" spans="1:10" ht="12.75">
      <c r="A833" s="46" t="s">
        <v>205</v>
      </c>
      <c r="B833" s="12" t="s">
        <v>563</v>
      </c>
      <c r="C833" s="13" t="s">
        <v>69</v>
      </c>
      <c r="D833" s="13" t="s">
        <v>67</v>
      </c>
      <c r="E833" s="45" t="s">
        <v>454</v>
      </c>
      <c r="F833" s="13"/>
      <c r="G833" s="14">
        <f aca="true" t="shared" si="126" ref="G833:H835">G834</f>
        <v>127.3</v>
      </c>
      <c r="H833" s="87">
        <f t="shared" si="126"/>
        <v>127.3</v>
      </c>
      <c r="I833" s="14">
        <f t="shared" si="120"/>
        <v>0</v>
      </c>
      <c r="J833" s="77">
        <f t="shared" si="121"/>
        <v>100</v>
      </c>
    </row>
    <row r="834" spans="1:10" ht="25.5">
      <c r="A834" s="46" t="s">
        <v>114</v>
      </c>
      <c r="B834" s="12" t="s">
        <v>563</v>
      </c>
      <c r="C834" s="13" t="s">
        <v>69</v>
      </c>
      <c r="D834" s="13" t="s">
        <v>67</v>
      </c>
      <c r="E834" s="45" t="s">
        <v>454</v>
      </c>
      <c r="F834" s="13" t="s">
        <v>115</v>
      </c>
      <c r="G834" s="14">
        <f t="shared" si="126"/>
        <v>127.3</v>
      </c>
      <c r="H834" s="87">
        <f t="shared" si="126"/>
        <v>127.3</v>
      </c>
      <c r="I834" s="14">
        <f t="shared" si="120"/>
        <v>0</v>
      </c>
      <c r="J834" s="77">
        <f t="shared" si="121"/>
        <v>100</v>
      </c>
    </row>
    <row r="835" spans="1:10" ht="12.75">
      <c r="A835" s="46" t="s">
        <v>120</v>
      </c>
      <c r="B835" s="12" t="s">
        <v>563</v>
      </c>
      <c r="C835" s="13" t="s">
        <v>69</v>
      </c>
      <c r="D835" s="13" t="s">
        <v>67</v>
      </c>
      <c r="E835" s="45" t="s">
        <v>454</v>
      </c>
      <c r="F835" s="13" t="s">
        <v>121</v>
      </c>
      <c r="G835" s="14">
        <f t="shared" si="126"/>
        <v>127.3</v>
      </c>
      <c r="H835" s="87">
        <f t="shared" si="126"/>
        <v>127.3</v>
      </c>
      <c r="I835" s="14">
        <f t="shared" si="120"/>
        <v>0</v>
      </c>
      <c r="J835" s="77">
        <f t="shared" si="121"/>
        <v>100</v>
      </c>
    </row>
    <row r="836" spans="1:10" ht="12.75">
      <c r="A836" s="46" t="s">
        <v>124</v>
      </c>
      <c r="B836" s="12" t="s">
        <v>563</v>
      </c>
      <c r="C836" s="13" t="s">
        <v>69</v>
      </c>
      <c r="D836" s="13" t="s">
        <v>67</v>
      </c>
      <c r="E836" s="45" t="s">
        <v>454</v>
      </c>
      <c r="F836" s="13" t="s">
        <v>125</v>
      </c>
      <c r="G836" s="14">
        <f>135-7.7</f>
        <v>127.3</v>
      </c>
      <c r="H836" s="87">
        <v>127.3</v>
      </c>
      <c r="I836" s="14">
        <f t="shared" si="120"/>
        <v>0</v>
      </c>
      <c r="J836" s="77">
        <f t="shared" si="121"/>
        <v>100</v>
      </c>
    </row>
    <row r="837" spans="1:10" ht="12.75">
      <c r="A837" s="46" t="s">
        <v>213</v>
      </c>
      <c r="B837" s="12" t="s">
        <v>563</v>
      </c>
      <c r="C837" s="13" t="s">
        <v>69</v>
      </c>
      <c r="D837" s="13" t="s">
        <v>67</v>
      </c>
      <c r="E837" s="45" t="s">
        <v>461</v>
      </c>
      <c r="F837" s="13"/>
      <c r="G837" s="14">
        <f aca="true" t="shared" si="127" ref="G837:H839">G838</f>
        <v>55</v>
      </c>
      <c r="H837" s="87">
        <f t="shared" si="127"/>
        <v>55</v>
      </c>
      <c r="I837" s="14">
        <f t="shared" si="120"/>
        <v>0</v>
      </c>
      <c r="J837" s="77">
        <f t="shared" si="121"/>
        <v>100</v>
      </c>
    </row>
    <row r="838" spans="1:10" ht="25.5">
      <c r="A838" s="46" t="s">
        <v>114</v>
      </c>
      <c r="B838" s="12" t="s">
        <v>563</v>
      </c>
      <c r="C838" s="13" t="s">
        <v>69</v>
      </c>
      <c r="D838" s="13" t="s">
        <v>67</v>
      </c>
      <c r="E838" s="45" t="s">
        <v>461</v>
      </c>
      <c r="F838" s="13" t="s">
        <v>115</v>
      </c>
      <c r="G838" s="14">
        <f t="shared" si="127"/>
        <v>55</v>
      </c>
      <c r="H838" s="87">
        <f t="shared" si="127"/>
        <v>55</v>
      </c>
      <c r="I838" s="14">
        <f t="shared" si="120"/>
        <v>0</v>
      </c>
      <c r="J838" s="77">
        <f t="shared" si="121"/>
        <v>100</v>
      </c>
    </row>
    <row r="839" spans="1:10" ht="12.75">
      <c r="A839" s="46" t="s">
        <v>120</v>
      </c>
      <c r="B839" s="12" t="s">
        <v>563</v>
      </c>
      <c r="C839" s="13" t="s">
        <v>69</v>
      </c>
      <c r="D839" s="13" t="s">
        <v>67</v>
      </c>
      <c r="E839" s="45" t="s">
        <v>461</v>
      </c>
      <c r="F839" s="13" t="s">
        <v>121</v>
      </c>
      <c r="G839" s="14">
        <f t="shared" si="127"/>
        <v>55</v>
      </c>
      <c r="H839" s="87">
        <f t="shared" si="127"/>
        <v>55</v>
      </c>
      <c r="I839" s="14">
        <f t="shared" si="120"/>
        <v>0</v>
      </c>
      <c r="J839" s="77">
        <f t="shared" si="121"/>
        <v>100</v>
      </c>
    </row>
    <row r="840" spans="1:10" ht="12.75">
      <c r="A840" s="46" t="s">
        <v>124</v>
      </c>
      <c r="B840" s="12" t="s">
        <v>563</v>
      </c>
      <c r="C840" s="13" t="s">
        <v>69</v>
      </c>
      <c r="D840" s="13" t="s">
        <v>67</v>
      </c>
      <c r="E840" s="45" t="s">
        <v>461</v>
      </c>
      <c r="F840" s="13" t="s">
        <v>125</v>
      </c>
      <c r="G840" s="14">
        <v>55</v>
      </c>
      <c r="H840" s="87">
        <v>55</v>
      </c>
      <c r="I840" s="14">
        <f t="shared" si="120"/>
        <v>0</v>
      </c>
      <c r="J840" s="77">
        <f t="shared" si="121"/>
        <v>100</v>
      </c>
    </row>
    <row r="841" spans="1:10" ht="12.75">
      <c r="A841" s="46" t="s">
        <v>226</v>
      </c>
      <c r="B841" s="12" t="s">
        <v>563</v>
      </c>
      <c r="C841" s="13" t="s">
        <v>69</v>
      </c>
      <c r="D841" s="13" t="s">
        <v>67</v>
      </c>
      <c r="E841" s="45" t="s">
        <v>480</v>
      </c>
      <c r="F841" s="13"/>
      <c r="G841" s="14">
        <f aca="true" t="shared" si="128" ref="G841:H843">G842</f>
        <v>9</v>
      </c>
      <c r="H841" s="87">
        <f t="shared" si="128"/>
        <v>9</v>
      </c>
      <c r="I841" s="14">
        <f t="shared" si="120"/>
        <v>0</v>
      </c>
      <c r="J841" s="77">
        <f t="shared" si="121"/>
        <v>100</v>
      </c>
    </row>
    <row r="842" spans="1:10" ht="25.5">
      <c r="A842" s="46" t="s">
        <v>114</v>
      </c>
      <c r="B842" s="12" t="s">
        <v>563</v>
      </c>
      <c r="C842" s="13" t="s">
        <v>69</v>
      </c>
      <c r="D842" s="13" t="s">
        <v>67</v>
      </c>
      <c r="E842" s="45" t="s">
        <v>480</v>
      </c>
      <c r="F842" s="13" t="s">
        <v>115</v>
      </c>
      <c r="G842" s="14">
        <f t="shared" si="128"/>
        <v>9</v>
      </c>
      <c r="H842" s="87">
        <f t="shared" si="128"/>
        <v>9</v>
      </c>
      <c r="I842" s="14">
        <f aca="true" t="shared" si="129" ref="I842:I905">G842-H842</f>
        <v>0</v>
      </c>
      <c r="J842" s="77">
        <f aca="true" t="shared" si="130" ref="J842:J905">H842/G842*100</f>
        <v>100</v>
      </c>
    </row>
    <row r="843" spans="1:10" ht="12.75">
      <c r="A843" s="46" t="s">
        <v>120</v>
      </c>
      <c r="B843" s="12" t="s">
        <v>563</v>
      </c>
      <c r="C843" s="13" t="s">
        <v>69</v>
      </c>
      <c r="D843" s="13" t="s">
        <v>67</v>
      </c>
      <c r="E843" s="45" t="s">
        <v>480</v>
      </c>
      <c r="F843" s="13" t="s">
        <v>121</v>
      </c>
      <c r="G843" s="14">
        <f t="shared" si="128"/>
        <v>9</v>
      </c>
      <c r="H843" s="87">
        <f t="shared" si="128"/>
        <v>9</v>
      </c>
      <c r="I843" s="14">
        <f t="shared" si="129"/>
        <v>0</v>
      </c>
      <c r="J843" s="77">
        <f t="shared" si="130"/>
        <v>100</v>
      </c>
    </row>
    <row r="844" spans="1:10" ht="12.75">
      <c r="A844" s="46" t="s">
        <v>124</v>
      </c>
      <c r="B844" s="12" t="s">
        <v>563</v>
      </c>
      <c r="C844" s="13" t="s">
        <v>69</v>
      </c>
      <c r="D844" s="13" t="s">
        <v>67</v>
      </c>
      <c r="E844" s="45" t="s">
        <v>480</v>
      </c>
      <c r="F844" s="13" t="s">
        <v>125</v>
      </c>
      <c r="G844" s="14">
        <v>9</v>
      </c>
      <c r="H844" s="87">
        <v>9</v>
      </c>
      <c r="I844" s="14">
        <f t="shared" si="129"/>
        <v>0</v>
      </c>
      <c r="J844" s="77">
        <f t="shared" si="130"/>
        <v>100</v>
      </c>
    </row>
    <row r="845" spans="1:10" ht="12.75">
      <c r="A845" s="46" t="s">
        <v>503</v>
      </c>
      <c r="B845" s="12" t="s">
        <v>563</v>
      </c>
      <c r="C845" s="13" t="s">
        <v>69</v>
      </c>
      <c r="D845" s="13" t="s">
        <v>67</v>
      </c>
      <c r="E845" s="13" t="s">
        <v>252</v>
      </c>
      <c r="F845" s="13"/>
      <c r="G845" s="14">
        <f>G846</f>
        <v>605</v>
      </c>
      <c r="H845" s="87">
        <f>H846</f>
        <v>591.4</v>
      </c>
      <c r="I845" s="14">
        <f t="shared" si="129"/>
        <v>13.600000000000023</v>
      </c>
      <c r="J845" s="77">
        <f t="shared" si="130"/>
        <v>97.75206611570248</v>
      </c>
    </row>
    <row r="846" spans="1:10" ht="12.75">
      <c r="A846" s="46" t="s">
        <v>504</v>
      </c>
      <c r="B846" s="12" t="s">
        <v>563</v>
      </c>
      <c r="C846" s="13" t="s">
        <v>69</v>
      </c>
      <c r="D846" s="13" t="s">
        <v>67</v>
      </c>
      <c r="E846" s="13" t="s">
        <v>501</v>
      </c>
      <c r="F846" s="13"/>
      <c r="G846" s="14">
        <f>G847+G851</f>
        <v>605</v>
      </c>
      <c r="H846" s="87">
        <f>H847+H851</f>
        <v>591.4</v>
      </c>
      <c r="I846" s="14">
        <f t="shared" si="129"/>
        <v>13.600000000000023</v>
      </c>
      <c r="J846" s="77">
        <f t="shared" si="130"/>
        <v>97.75206611570248</v>
      </c>
    </row>
    <row r="847" spans="1:10" ht="47.25" customHeight="1">
      <c r="A847" s="46" t="s">
        <v>381</v>
      </c>
      <c r="B847" s="12" t="s">
        <v>563</v>
      </c>
      <c r="C847" s="13" t="s">
        <v>69</v>
      </c>
      <c r="D847" s="13" t="s">
        <v>67</v>
      </c>
      <c r="E847" s="13" t="s">
        <v>502</v>
      </c>
      <c r="F847" s="13"/>
      <c r="G847" s="14">
        <f aca="true" t="shared" si="131" ref="G847:H849">G848</f>
        <v>516.4</v>
      </c>
      <c r="H847" s="87">
        <f t="shared" si="131"/>
        <v>502.8</v>
      </c>
      <c r="I847" s="14">
        <f t="shared" si="129"/>
        <v>13.599999999999966</v>
      </c>
      <c r="J847" s="77">
        <f t="shared" si="130"/>
        <v>97.36638264910923</v>
      </c>
    </row>
    <row r="848" spans="1:10" ht="25.5">
      <c r="A848" s="46" t="s">
        <v>114</v>
      </c>
      <c r="B848" s="12" t="s">
        <v>563</v>
      </c>
      <c r="C848" s="13" t="s">
        <v>69</v>
      </c>
      <c r="D848" s="13" t="s">
        <v>67</v>
      </c>
      <c r="E848" s="13" t="s">
        <v>502</v>
      </c>
      <c r="F848" s="13" t="s">
        <v>115</v>
      </c>
      <c r="G848" s="14">
        <f t="shared" si="131"/>
        <v>516.4</v>
      </c>
      <c r="H848" s="87">
        <f t="shared" si="131"/>
        <v>502.8</v>
      </c>
      <c r="I848" s="14">
        <f t="shared" si="129"/>
        <v>13.599999999999966</v>
      </c>
      <c r="J848" s="77">
        <f t="shared" si="130"/>
        <v>97.36638264910923</v>
      </c>
    </row>
    <row r="849" spans="1:10" ht="12.75">
      <c r="A849" s="46" t="s">
        <v>120</v>
      </c>
      <c r="B849" s="12" t="s">
        <v>563</v>
      </c>
      <c r="C849" s="13" t="s">
        <v>69</v>
      </c>
      <c r="D849" s="13" t="s">
        <v>67</v>
      </c>
      <c r="E849" s="13" t="s">
        <v>502</v>
      </c>
      <c r="F849" s="13" t="s">
        <v>121</v>
      </c>
      <c r="G849" s="14">
        <f t="shared" si="131"/>
        <v>516.4</v>
      </c>
      <c r="H849" s="87">
        <f t="shared" si="131"/>
        <v>502.8</v>
      </c>
      <c r="I849" s="14">
        <f t="shared" si="129"/>
        <v>13.599999999999966</v>
      </c>
      <c r="J849" s="77">
        <f t="shared" si="130"/>
        <v>97.36638264910923</v>
      </c>
    </row>
    <row r="850" spans="1:10" ht="12.75">
      <c r="A850" s="46" t="s">
        <v>124</v>
      </c>
      <c r="B850" s="12" t="s">
        <v>563</v>
      </c>
      <c r="C850" s="13" t="s">
        <v>69</v>
      </c>
      <c r="D850" s="13" t="s">
        <v>67</v>
      </c>
      <c r="E850" s="13" t="s">
        <v>502</v>
      </c>
      <c r="F850" s="13" t="s">
        <v>125</v>
      </c>
      <c r="G850" s="14">
        <f>730-40-173.6</f>
        <v>516.4</v>
      </c>
      <c r="H850" s="87">
        <v>502.8</v>
      </c>
      <c r="I850" s="14">
        <f t="shared" si="129"/>
        <v>13.599999999999966</v>
      </c>
      <c r="J850" s="77">
        <f t="shared" si="130"/>
        <v>97.36638264910923</v>
      </c>
    </row>
    <row r="851" spans="1:10" ht="12.75">
      <c r="A851" s="46" t="s">
        <v>272</v>
      </c>
      <c r="B851" s="12" t="s">
        <v>563</v>
      </c>
      <c r="C851" s="13" t="s">
        <v>69</v>
      </c>
      <c r="D851" s="13" t="s">
        <v>67</v>
      </c>
      <c r="E851" s="13" t="s">
        <v>505</v>
      </c>
      <c r="F851" s="13"/>
      <c r="G851" s="14">
        <f aca="true" t="shared" si="132" ref="G851:H853">G852</f>
        <v>88.6</v>
      </c>
      <c r="H851" s="87">
        <f t="shared" si="132"/>
        <v>88.6</v>
      </c>
      <c r="I851" s="14">
        <f t="shared" si="129"/>
        <v>0</v>
      </c>
      <c r="J851" s="77">
        <f t="shared" si="130"/>
        <v>100</v>
      </c>
    </row>
    <row r="852" spans="1:10" ht="25.5">
      <c r="A852" s="46" t="s">
        <v>114</v>
      </c>
      <c r="B852" s="12" t="s">
        <v>563</v>
      </c>
      <c r="C852" s="13" t="s">
        <v>69</v>
      </c>
      <c r="D852" s="13" t="s">
        <v>67</v>
      </c>
      <c r="E852" s="13" t="s">
        <v>505</v>
      </c>
      <c r="F852" s="13" t="s">
        <v>115</v>
      </c>
      <c r="G852" s="14">
        <f t="shared" si="132"/>
        <v>88.6</v>
      </c>
      <c r="H852" s="87">
        <f t="shared" si="132"/>
        <v>88.6</v>
      </c>
      <c r="I852" s="14">
        <f t="shared" si="129"/>
        <v>0</v>
      </c>
      <c r="J852" s="77">
        <f t="shared" si="130"/>
        <v>100</v>
      </c>
    </row>
    <row r="853" spans="1:10" ht="12.75">
      <c r="A853" s="46" t="s">
        <v>120</v>
      </c>
      <c r="B853" s="12" t="s">
        <v>563</v>
      </c>
      <c r="C853" s="13" t="s">
        <v>69</v>
      </c>
      <c r="D853" s="13" t="s">
        <v>67</v>
      </c>
      <c r="E853" s="13" t="s">
        <v>505</v>
      </c>
      <c r="F853" s="13" t="s">
        <v>121</v>
      </c>
      <c r="G853" s="14">
        <f t="shared" si="132"/>
        <v>88.6</v>
      </c>
      <c r="H853" s="87">
        <f t="shared" si="132"/>
        <v>88.6</v>
      </c>
      <c r="I853" s="14">
        <f t="shared" si="129"/>
        <v>0</v>
      </c>
      <c r="J853" s="77">
        <f t="shared" si="130"/>
        <v>100</v>
      </c>
    </row>
    <row r="854" spans="1:10" ht="12.75">
      <c r="A854" s="46" t="s">
        <v>124</v>
      </c>
      <c r="B854" s="12" t="s">
        <v>563</v>
      </c>
      <c r="C854" s="13" t="s">
        <v>69</v>
      </c>
      <c r="D854" s="13" t="s">
        <v>67</v>
      </c>
      <c r="E854" s="13" t="s">
        <v>505</v>
      </c>
      <c r="F854" s="13" t="s">
        <v>125</v>
      </c>
      <c r="G854" s="14">
        <f>10+40+17.6+21</f>
        <v>88.6</v>
      </c>
      <c r="H854" s="87">
        <v>88.6</v>
      </c>
      <c r="I854" s="14">
        <f t="shared" si="129"/>
        <v>0</v>
      </c>
      <c r="J854" s="77">
        <f t="shared" si="130"/>
        <v>100</v>
      </c>
    </row>
    <row r="855" spans="1:10" ht="12.75">
      <c r="A855" s="46" t="s">
        <v>431</v>
      </c>
      <c r="B855" s="12" t="s">
        <v>563</v>
      </c>
      <c r="C855" s="13" t="s">
        <v>69</v>
      </c>
      <c r="D855" s="13" t="s">
        <v>67</v>
      </c>
      <c r="E855" s="13" t="s">
        <v>265</v>
      </c>
      <c r="F855" s="13"/>
      <c r="G855" s="14">
        <f aca="true" t="shared" si="133" ref="G855:H858">G856</f>
        <v>20429.9</v>
      </c>
      <c r="H855" s="87">
        <f t="shared" si="133"/>
        <v>20425.8</v>
      </c>
      <c r="I855" s="14">
        <f t="shared" si="129"/>
        <v>4.100000000002183</v>
      </c>
      <c r="J855" s="77">
        <f t="shared" si="130"/>
        <v>99.97993137509238</v>
      </c>
    </row>
    <row r="856" spans="1:10" ht="25.5">
      <c r="A856" s="46" t="s">
        <v>289</v>
      </c>
      <c r="B856" s="12" t="s">
        <v>563</v>
      </c>
      <c r="C856" s="13" t="s">
        <v>69</v>
      </c>
      <c r="D856" s="13" t="s">
        <v>67</v>
      </c>
      <c r="E856" s="13" t="s">
        <v>516</v>
      </c>
      <c r="F856" s="13"/>
      <c r="G856" s="14">
        <f t="shared" si="133"/>
        <v>20429.9</v>
      </c>
      <c r="H856" s="87">
        <f t="shared" si="133"/>
        <v>20425.8</v>
      </c>
      <c r="I856" s="14">
        <f t="shared" si="129"/>
        <v>4.100000000002183</v>
      </c>
      <c r="J856" s="77">
        <f t="shared" si="130"/>
        <v>99.97993137509238</v>
      </c>
    </row>
    <row r="857" spans="1:10" ht="12.75">
      <c r="A857" s="46" t="s">
        <v>288</v>
      </c>
      <c r="B857" s="12" t="s">
        <v>563</v>
      </c>
      <c r="C857" s="13" t="s">
        <v>69</v>
      </c>
      <c r="D857" s="13" t="s">
        <v>67</v>
      </c>
      <c r="E857" s="13" t="s">
        <v>517</v>
      </c>
      <c r="F857" s="13"/>
      <c r="G857" s="14">
        <f t="shared" si="133"/>
        <v>20429.9</v>
      </c>
      <c r="H857" s="87">
        <f t="shared" si="133"/>
        <v>20425.8</v>
      </c>
      <c r="I857" s="14">
        <f t="shared" si="129"/>
        <v>4.100000000002183</v>
      </c>
      <c r="J857" s="77">
        <f t="shared" si="130"/>
        <v>99.97993137509238</v>
      </c>
    </row>
    <row r="858" spans="1:10" ht="25.5">
      <c r="A858" s="46" t="s">
        <v>114</v>
      </c>
      <c r="B858" s="12" t="s">
        <v>563</v>
      </c>
      <c r="C858" s="13" t="s">
        <v>69</v>
      </c>
      <c r="D858" s="13" t="s">
        <v>67</v>
      </c>
      <c r="E858" s="13" t="s">
        <v>517</v>
      </c>
      <c r="F858" s="13" t="s">
        <v>115</v>
      </c>
      <c r="G858" s="14">
        <f t="shared" si="133"/>
        <v>20429.9</v>
      </c>
      <c r="H858" s="87">
        <f t="shared" si="133"/>
        <v>20425.8</v>
      </c>
      <c r="I858" s="14">
        <f t="shared" si="129"/>
        <v>4.100000000002183</v>
      </c>
      <c r="J858" s="77">
        <f t="shared" si="130"/>
        <v>99.97993137509238</v>
      </c>
    </row>
    <row r="859" spans="1:10" ht="12.75">
      <c r="A859" s="46" t="s">
        <v>120</v>
      </c>
      <c r="B859" s="12" t="s">
        <v>563</v>
      </c>
      <c r="C859" s="13" t="s">
        <v>69</v>
      </c>
      <c r="D859" s="13" t="s">
        <v>67</v>
      </c>
      <c r="E859" s="13" t="s">
        <v>517</v>
      </c>
      <c r="F859" s="13" t="s">
        <v>121</v>
      </c>
      <c r="G859" s="14">
        <f>G860+G861</f>
        <v>20429.9</v>
      </c>
      <c r="H859" s="87">
        <f>H860+H861</f>
        <v>20425.8</v>
      </c>
      <c r="I859" s="14">
        <f t="shared" si="129"/>
        <v>4.100000000002183</v>
      </c>
      <c r="J859" s="77">
        <f t="shared" si="130"/>
        <v>99.97993137509238</v>
      </c>
    </row>
    <row r="860" spans="1:10" ht="40.5" customHeight="1">
      <c r="A860" s="46" t="s">
        <v>122</v>
      </c>
      <c r="B860" s="12" t="s">
        <v>563</v>
      </c>
      <c r="C860" s="13" t="s">
        <v>69</v>
      </c>
      <c r="D860" s="13" t="s">
        <v>67</v>
      </c>
      <c r="E860" s="13" t="s">
        <v>517</v>
      </c>
      <c r="F860" s="13" t="s">
        <v>123</v>
      </c>
      <c r="G860" s="14">
        <f>20888.4+155.5-1164</f>
        <v>19879.9</v>
      </c>
      <c r="H860" s="87">
        <v>19875.8</v>
      </c>
      <c r="I860" s="14">
        <f t="shared" si="129"/>
        <v>4.100000000002183</v>
      </c>
      <c r="J860" s="77">
        <f t="shared" si="130"/>
        <v>99.97937615380359</v>
      </c>
    </row>
    <row r="861" spans="1:10" ht="12.75">
      <c r="A861" s="46" t="s">
        <v>124</v>
      </c>
      <c r="B861" s="12" t="s">
        <v>563</v>
      </c>
      <c r="C861" s="13" t="s">
        <v>69</v>
      </c>
      <c r="D861" s="13" t="s">
        <v>67</v>
      </c>
      <c r="E861" s="13" t="s">
        <v>517</v>
      </c>
      <c r="F861" s="13" t="s">
        <v>125</v>
      </c>
      <c r="G861" s="14">
        <f>450+100</f>
        <v>550</v>
      </c>
      <c r="H861" s="87">
        <v>550</v>
      </c>
      <c r="I861" s="14">
        <f t="shared" si="129"/>
        <v>0</v>
      </c>
      <c r="J861" s="77">
        <f t="shared" si="130"/>
        <v>100</v>
      </c>
    </row>
    <row r="862" spans="1:10" ht="25.5">
      <c r="A862" s="60" t="s">
        <v>772</v>
      </c>
      <c r="B862" s="37" t="s">
        <v>563</v>
      </c>
      <c r="C862" s="29" t="s">
        <v>69</v>
      </c>
      <c r="D862" s="29" t="s">
        <v>69</v>
      </c>
      <c r="E862" s="29"/>
      <c r="F862" s="29"/>
      <c r="G862" s="30">
        <f>G863+G870+G876+G911</f>
        <v>1488.8</v>
      </c>
      <c r="H862" s="105">
        <f>H863+H870+H876+H911</f>
        <v>812.8</v>
      </c>
      <c r="I862" s="30">
        <f t="shared" si="129"/>
        <v>676</v>
      </c>
      <c r="J862" s="82">
        <f t="shared" si="130"/>
        <v>54.59430413756044</v>
      </c>
    </row>
    <row r="863" spans="1:10" ht="25.5">
      <c r="A863" s="46" t="s">
        <v>362</v>
      </c>
      <c r="B863" s="12" t="s">
        <v>563</v>
      </c>
      <c r="C863" s="13" t="s">
        <v>69</v>
      </c>
      <c r="D863" s="13" t="s">
        <v>69</v>
      </c>
      <c r="E863" s="45" t="s">
        <v>219</v>
      </c>
      <c r="F863" s="13"/>
      <c r="G863" s="14">
        <f aca="true" t="shared" si="134" ref="G863:H866">G864</f>
        <v>92.4</v>
      </c>
      <c r="H863" s="87">
        <f t="shared" si="134"/>
        <v>92.4</v>
      </c>
      <c r="I863" s="14">
        <f t="shared" si="129"/>
        <v>0</v>
      </c>
      <c r="J863" s="77">
        <f t="shared" si="130"/>
        <v>100</v>
      </c>
    </row>
    <row r="864" spans="1:10" ht="38.25">
      <c r="A864" s="46" t="s">
        <v>578</v>
      </c>
      <c r="B864" s="12" t="s">
        <v>563</v>
      </c>
      <c r="C864" s="13" t="s">
        <v>69</v>
      </c>
      <c r="D864" s="13" t="s">
        <v>69</v>
      </c>
      <c r="E864" s="45" t="s">
        <v>464</v>
      </c>
      <c r="F864" s="13"/>
      <c r="G864" s="14">
        <f t="shared" si="134"/>
        <v>92.4</v>
      </c>
      <c r="H864" s="87">
        <f t="shared" si="134"/>
        <v>92.4</v>
      </c>
      <c r="I864" s="14">
        <f t="shared" si="129"/>
        <v>0</v>
      </c>
      <c r="J864" s="77">
        <f t="shared" si="130"/>
        <v>100</v>
      </c>
    </row>
    <row r="865" spans="1:10" ht="12.75">
      <c r="A865" s="46" t="s">
        <v>218</v>
      </c>
      <c r="B865" s="12" t="s">
        <v>563</v>
      </c>
      <c r="C865" s="13" t="s">
        <v>69</v>
      </c>
      <c r="D865" s="13" t="s">
        <v>69</v>
      </c>
      <c r="E865" s="45" t="s">
        <v>465</v>
      </c>
      <c r="F865" s="13"/>
      <c r="G865" s="14">
        <f t="shared" si="134"/>
        <v>92.4</v>
      </c>
      <c r="H865" s="87">
        <f t="shared" si="134"/>
        <v>92.4</v>
      </c>
      <c r="I865" s="14">
        <f t="shared" si="129"/>
        <v>0</v>
      </c>
      <c r="J865" s="77">
        <f t="shared" si="130"/>
        <v>100</v>
      </c>
    </row>
    <row r="866" spans="1:10" ht="38.25">
      <c r="A866" s="46" t="s">
        <v>110</v>
      </c>
      <c r="B866" s="12" t="s">
        <v>563</v>
      </c>
      <c r="C866" s="13" t="s">
        <v>69</v>
      </c>
      <c r="D866" s="13" t="s">
        <v>69</v>
      </c>
      <c r="E866" s="45" t="s">
        <v>465</v>
      </c>
      <c r="F866" s="13" t="s">
        <v>111</v>
      </c>
      <c r="G866" s="14">
        <f t="shared" si="134"/>
        <v>92.4</v>
      </c>
      <c r="H866" s="87">
        <f t="shared" si="134"/>
        <v>92.4</v>
      </c>
      <c r="I866" s="14">
        <f t="shared" si="129"/>
        <v>0</v>
      </c>
      <c r="J866" s="77">
        <f t="shared" si="130"/>
        <v>100</v>
      </c>
    </row>
    <row r="867" spans="1:10" ht="12.75">
      <c r="A867" s="69" t="s">
        <v>406</v>
      </c>
      <c r="B867" s="12" t="s">
        <v>563</v>
      </c>
      <c r="C867" s="13" t="s">
        <v>69</v>
      </c>
      <c r="D867" s="13" t="s">
        <v>69</v>
      </c>
      <c r="E867" s="45" t="s">
        <v>465</v>
      </c>
      <c r="F867" s="13" t="s">
        <v>408</v>
      </c>
      <c r="G867" s="14">
        <f>G868+G869</f>
        <v>92.4</v>
      </c>
      <c r="H867" s="87">
        <f>H868+H869</f>
        <v>92.4</v>
      </c>
      <c r="I867" s="14">
        <f t="shared" si="129"/>
        <v>0</v>
      </c>
      <c r="J867" s="77">
        <f t="shared" si="130"/>
        <v>100</v>
      </c>
    </row>
    <row r="868" spans="1:10" ht="18" customHeight="1">
      <c r="A868" s="46" t="s">
        <v>573</v>
      </c>
      <c r="B868" s="12" t="s">
        <v>563</v>
      </c>
      <c r="C868" s="13" t="s">
        <v>69</v>
      </c>
      <c r="D868" s="13" t="s">
        <v>69</v>
      </c>
      <c r="E868" s="45" t="s">
        <v>465</v>
      </c>
      <c r="F868" s="13" t="s">
        <v>409</v>
      </c>
      <c r="G868" s="14">
        <f>46.1-17.7+29.6+16.9-4</f>
        <v>70.9</v>
      </c>
      <c r="H868" s="87">
        <v>70.9</v>
      </c>
      <c r="I868" s="14">
        <f t="shared" si="129"/>
        <v>0</v>
      </c>
      <c r="J868" s="77">
        <f t="shared" si="130"/>
        <v>100</v>
      </c>
    </row>
    <row r="869" spans="1:10" ht="25.5">
      <c r="A869" s="46" t="s">
        <v>576</v>
      </c>
      <c r="B869" s="12" t="s">
        <v>563</v>
      </c>
      <c r="C869" s="13" t="s">
        <v>69</v>
      </c>
      <c r="D869" s="13" t="s">
        <v>69</v>
      </c>
      <c r="E869" s="45" t="s">
        <v>465</v>
      </c>
      <c r="F869" s="13" t="s">
        <v>410</v>
      </c>
      <c r="G869" s="14">
        <f>13.9-5.3+8.9+4</f>
        <v>21.5</v>
      </c>
      <c r="H869" s="87">
        <v>21.5</v>
      </c>
      <c r="I869" s="14">
        <f t="shared" si="129"/>
        <v>0</v>
      </c>
      <c r="J869" s="77">
        <f t="shared" si="130"/>
        <v>100</v>
      </c>
    </row>
    <row r="870" spans="1:10" ht="25.5">
      <c r="A870" s="46" t="s">
        <v>363</v>
      </c>
      <c r="B870" s="12" t="s">
        <v>563</v>
      </c>
      <c r="C870" s="13" t="s">
        <v>69</v>
      </c>
      <c r="D870" s="13" t="s">
        <v>69</v>
      </c>
      <c r="E870" s="45" t="s">
        <v>221</v>
      </c>
      <c r="F870" s="13"/>
      <c r="G870" s="14">
        <f aca="true" t="shared" si="135" ref="G870:H874">G871</f>
        <v>300</v>
      </c>
      <c r="H870" s="87">
        <f t="shared" si="135"/>
        <v>300</v>
      </c>
      <c r="I870" s="14">
        <f t="shared" si="129"/>
        <v>0</v>
      </c>
      <c r="J870" s="77">
        <f t="shared" si="130"/>
        <v>100</v>
      </c>
    </row>
    <row r="871" spans="1:10" ht="30" customHeight="1">
      <c r="A871" s="46" t="s">
        <v>293</v>
      </c>
      <c r="B871" s="12" t="s">
        <v>563</v>
      </c>
      <c r="C871" s="13" t="s">
        <v>69</v>
      </c>
      <c r="D871" s="13" t="s">
        <v>69</v>
      </c>
      <c r="E871" s="45" t="s">
        <v>466</v>
      </c>
      <c r="F871" s="13"/>
      <c r="G871" s="14">
        <f t="shared" si="135"/>
        <v>300</v>
      </c>
      <c r="H871" s="87">
        <f t="shared" si="135"/>
        <v>300</v>
      </c>
      <c r="I871" s="14">
        <f t="shared" si="129"/>
        <v>0</v>
      </c>
      <c r="J871" s="77">
        <f t="shared" si="130"/>
        <v>100</v>
      </c>
    </row>
    <row r="872" spans="1:10" ht="12.75">
      <c r="A872" s="46" t="s">
        <v>220</v>
      </c>
      <c r="B872" s="12" t="s">
        <v>563</v>
      </c>
      <c r="C872" s="13" t="s">
        <v>69</v>
      </c>
      <c r="D872" s="13" t="s">
        <v>69</v>
      </c>
      <c r="E872" s="45" t="s">
        <v>467</v>
      </c>
      <c r="F872" s="13"/>
      <c r="G872" s="14">
        <f t="shared" si="135"/>
        <v>300</v>
      </c>
      <c r="H872" s="87">
        <f t="shared" si="135"/>
        <v>300</v>
      </c>
      <c r="I872" s="14">
        <f t="shared" si="129"/>
        <v>0</v>
      </c>
      <c r="J872" s="77">
        <f t="shared" si="130"/>
        <v>100</v>
      </c>
    </row>
    <row r="873" spans="1:10" ht="25.5">
      <c r="A873" s="46" t="s">
        <v>770</v>
      </c>
      <c r="B873" s="12" t="s">
        <v>563</v>
      </c>
      <c r="C873" s="13" t="s">
        <v>69</v>
      </c>
      <c r="D873" s="13" t="s">
        <v>69</v>
      </c>
      <c r="E873" s="45" t="s">
        <v>467</v>
      </c>
      <c r="F873" s="13" t="s">
        <v>113</v>
      </c>
      <c r="G873" s="14">
        <f t="shared" si="135"/>
        <v>300</v>
      </c>
      <c r="H873" s="87">
        <f t="shared" si="135"/>
        <v>300</v>
      </c>
      <c r="I873" s="14">
        <f t="shared" si="129"/>
        <v>0</v>
      </c>
      <c r="J873" s="77">
        <f t="shared" si="130"/>
        <v>100</v>
      </c>
    </row>
    <row r="874" spans="1:10" ht="25.5">
      <c r="A874" s="46" t="s">
        <v>106</v>
      </c>
      <c r="B874" s="12" t="s">
        <v>563</v>
      </c>
      <c r="C874" s="13" t="s">
        <v>69</v>
      </c>
      <c r="D874" s="13" t="s">
        <v>69</v>
      </c>
      <c r="E874" s="45" t="s">
        <v>467</v>
      </c>
      <c r="F874" s="13" t="s">
        <v>107</v>
      </c>
      <c r="G874" s="14">
        <f t="shared" si="135"/>
        <v>300</v>
      </c>
      <c r="H874" s="87">
        <f t="shared" si="135"/>
        <v>300</v>
      </c>
      <c r="I874" s="14">
        <f t="shared" si="129"/>
        <v>0</v>
      </c>
      <c r="J874" s="77">
        <f t="shared" si="130"/>
        <v>100</v>
      </c>
    </row>
    <row r="875" spans="1:10" ht="25.5">
      <c r="A875" s="46" t="s">
        <v>108</v>
      </c>
      <c r="B875" s="12" t="s">
        <v>563</v>
      </c>
      <c r="C875" s="13" t="s">
        <v>69</v>
      </c>
      <c r="D875" s="13" t="s">
        <v>69</v>
      </c>
      <c r="E875" s="45" t="s">
        <v>467</v>
      </c>
      <c r="F875" s="13" t="s">
        <v>109</v>
      </c>
      <c r="G875" s="14">
        <v>300</v>
      </c>
      <c r="H875" s="87">
        <v>300</v>
      </c>
      <c r="I875" s="14">
        <f t="shared" si="129"/>
        <v>0</v>
      </c>
      <c r="J875" s="77">
        <f t="shared" si="130"/>
        <v>100</v>
      </c>
    </row>
    <row r="876" spans="1:10" ht="26.25" customHeight="1">
      <c r="A876" s="46" t="s">
        <v>365</v>
      </c>
      <c r="B876" s="12" t="s">
        <v>563</v>
      </c>
      <c r="C876" s="13" t="s">
        <v>69</v>
      </c>
      <c r="D876" s="13" t="s">
        <v>69</v>
      </c>
      <c r="E876" s="45" t="s">
        <v>227</v>
      </c>
      <c r="F876" s="13"/>
      <c r="G876" s="14">
        <f>G877+G882</f>
        <v>961.4</v>
      </c>
      <c r="H876" s="87">
        <f>H877+H882</f>
        <v>285.4</v>
      </c>
      <c r="I876" s="14">
        <f t="shared" si="129"/>
        <v>676</v>
      </c>
      <c r="J876" s="77">
        <f t="shared" si="130"/>
        <v>29.685874765966297</v>
      </c>
    </row>
    <row r="877" spans="1:10" ht="14.25" customHeight="1">
      <c r="A877" s="46" t="s">
        <v>297</v>
      </c>
      <c r="B877" s="12" t="s">
        <v>563</v>
      </c>
      <c r="C877" s="13" t="s">
        <v>69</v>
      </c>
      <c r="D877" s="13" t="s">
        <v>69</v>
      </c>
      <c r="E877" s="45" t="s">
        <v>481</v>
      </c>
      <c r="F877" s="13"/>
      <c r="G877" s="14">
        <f aca="true" t="shared" si="136" ref="G877:H880">G878</f>
        <v>50</v>
      </c>
      <c r="H877" s="87">
        <f t="shared" si="136"/>
        <v>50</v>
      </c>
      <c r="I877" s="14">
        <f t="shared" si="129"/>
        <v>0</v>
      </c>
      <c r="J877" s="77">
        <f t="shared" si="130"/>
        <v>100</v>
      </c>
    </row>
    <row r="878" spans="1:10" ht="17.25" customHeight="1">
      <c r="A878" s="46" t="s">
        <v>204</v>
      </c>
      <c r="B878" s="12" t="s">
        <v>563</v>
      </c>
      <c r="C878" s="13" t="s">
        <v>69</v>
      </c>
      <c r="D878" s="13" t="s">
        <v>69</v>
      </c>
      <c r="E878" s="45" t="s">
        <v>482</v>
      </c>
      <c r="F878" s="13"/>
      <c r="G878" s="14">
        <f t="shared" si="136"/>
        <v>50</v>
      </c>
      <c r="H878" s="87">
        <f t="shared" si="136"/>
        <v>50</v>
      </c>
      <c r="I878" s="14">
        <f t="shared" si="129"/>
        <v>0</v>
      </c>
      <c r="J878" s="77">
        <f t="shared" si="130"/>
        <v>100</v>
      </c>
    </row>
    <row r="879" spans="1:10" ht="25.5">
      <c r="A879" s="46" t="s">
        <v>770</v>
      </c>
      <c r="B879" s="12" t="s">
        <v>563</v>
      </c>
      <c r="C879" s="13" t="s">
        <v>69</v>
      </c>
      <c r="D879" s="13" t="s">
        <v>69</v>
      </c>
      <c r="E879" s="45" t="s">
        <v>482</v>
      </c>
      <c r="F879" s="13" t="s">
        <v>113</v>
      </c>
      <c r="G879" s="14">
        <f t="shared" si="136"/>
        <v>50</v>
      </c>
      <c r="H879" s="87">
        <f t="shared" si="136"/>
        <v>50</v>
      </c>
      <c r="I879" s="14">
        <f t="shared" si="129"/>
        <v>0</v>
      </c>
      <c r="J879" s="77">
        <f t="shared" si="130"/>
        <v>100</v>
      </c>
    </row>
    <row r="880" spans="1:10" ht="25.5">
      <c r="A880" s="46" t="s">
        <v>106</v>
      </c>
      <c r="B880" s="12" t="s">
        <v>563</v>
      </c>
      <c r="C880" s="13" t="s">
        <v>69</v>
      </c>
      <c r="D880" s="13" t="s">
        <v>69</v>
      </c>
      <c r="E880" s="45" t="s">
        <v>482</v>
      </c>
      <c r="F880" s="13" t="s">
        <v>107</v>
      </c>
      <c r="G880" s="14">
        <f t="shared" si="136"/>
        <v>50</v>
      </c>
      <c r="H880" s="87">
        <f t="shared" si="136"/>
        <v>50</v>
      </c>
      <c r="I880" s="14">
        <f t="shared" si="129"/>
        <v>0</v>
      </c>
      <c r="J880" s="77">
        <f t="shared" si="130"/>
        <v>100</v>
      </c>
    </row>
    <row r="881" spans="1:10" ht="25.5">
      <c r="A881" s="46" t="s">
        <v>108</v>
      </c>
      <c r="B881" s="12" t="s">
        <v>563</v>
      </c>
      <c r="C881" s="13" t="s">
        <v>69</v>
      </c>
      <c r="D881" s="13" t="s">
        <v>69</v>
      </c>
      <c r="E881" s="45" t="s">
        <v>482</v>
      </c>
      <c r="F881" s="13" t="s">
        <v>109</v>
      </c>
      <c r="G881" s="14">
        <f>100-50</f>
        <v>50</v>
      </c>
      <c r="H881" s="87">
        <v>50</v>
      </c>
      <c r="I881" s="14">
        <f t="shared" si="129"/>
        <v>0</v>
      </c>
      <c r="J881" s="77">
        <f t="shared" si="130"/>
        <v>100</v>
      </c>
    </row>
    <row r="882" spans="1:10" ht="12.75">
      <c r="A882" s="46" t="s">
        <v>298</v>
      </c>
      <c r="B882" s="12" t="s">
        <v>563</v>
      </c>
      <c r="C882" s="13" t="s">
        <v>69</v>
      </c>
      <c r="D882" s="13" t="s">
        <v>69</v>
      </c>
      <c r="E882" s="45" t="s">
        <v>483</v>
      </c>
      <c r="F882" s="13"/>
      <c r="G882" s="14">
        <f>G883+G887+G895+G899+G903+G907</f>
        <v>911.4</v>
      </c>
      <c r="H882" s="87">
        <f>H883+H887+H895+H899+H903+H907</f>
        <v>235.4</v>
      </c>
      <c r="I882" s="14">
        <f t="shared" si="129"/>
        <v>676</v>
      </c>
      <c r="J882" s="77">
        <f t="shared" si="130"/>
        <v>25.828395874478826</v>
      </c>
    </row>
    <row r="883" spans="1:10" ht="12.75">
      <c r="A883" s="46" t="s">
        <v>228</v>
      </c>
      <c r="B883" s="12" t="s">
        <v>563</v>
      </c>
      <c r="C883" s="13" t="s">
        <v>69</v>
      </c>
      <c r="D883" s="13" t="s">
        <v>69</v>
      </c>
      <c r="E883" s="45" t="s">
        <v>484</v>
      </c>
      <c r="F883" s="13"/>
      <c r="G883" s="14">
        <f aca="true" t="shared" si="137" ref="G883:H885">G884</f>
        <v>95</v>
      </c>
      <c r="H883" s="87">
        <f t="shared" si="137"/>
        <v>91.7</v>
      </c>
      <c r="I883" s="14">
        <f t="shared" si="129"/>
        <v>3.299999999999997</v>
      </c>
      <c r="J883" s="77">
        <f t="shared" si="130"/>
        <v>96.52631578947368</v>
      </c>
    </row>
    <row r="884" spans="1:10" ht="25.5">
      <c r="A884" s="46" t="s">
        <v>770</v>
      </c>
      <c r="B884" s="12" t="s">
        <v>563</v>
      </c>
      <c r="C884" s="13" t="s">
        <v>69</v>
      </c>
      <c r="D884" s="13" t="s">
        <v>69</v>
      </c>
      <c r="E884" s="45" t="s">
        <v>484</v>
      </c>
      <c r="F884" s="13" t="s">
        <v>113</v>
      </c>
      <c r="G884" s="14">
        <f t="shared" si="137"/>
        <v>95</v>
      </c>
      <c r="H884" s="87">
        <f t="shared" si="137"/>
        <v>91.7</v>
      </c>
      <c r="I884" s="14">
        <f t="shared" si="129"/>
        <v>3.299999999999997</v>
      </c>
      <c r="J884" s="77">
        <f t="shared" si="130"/>
        <v>96.52631578947368</v>
      </c>
    </row>
    <row r="885" spans="1:10" ht="25.5">
      <c r="A885" s="46" t="s">
        <v>106</v>
      </c>
      <c r="B885" s="12" t="s">
        <v>563</v>
      </c>
      <c r="C885" s="13" t="s">
        <v>69</v>
      </c>
      <c r="D885" s="13" t="s">
        <v>69</v>
      </c>
      <c r="E885" s="45" t="s">
        <v>484</v>
      </c>
      <c r="F885" s="13" t="s">
        <v>107</v>
      </c>
      <c r="G885" s="14">
        <f t="shared" si="137"/>
        <v>95</v>
      </c>
      <c r="H885" s="87">
        <f t="shared" si="137"/>
        <v>91.7</v>
      </c>
      <c r="I885" s="14">
        <f t="shared" si="129"/>
        <v>3.299999999999997</v>
      </c>
      <c r="J885" s="77">
        <f t="shared" si="130"/>
        <v>96.52631578947368</v>
      </c>
    </row>
    <row r="886" spans="1:10" ht="25.5">
      <c r="A886" s="46" t="s">
        <v>108</v>
      </c>
      <c r="B886" s="12" t="s">
        <v>563</v>
      </c>
      <c r="C886" s="13" t="s">
        <v>69</v>
      </c>
      <c r="D886" s="13" t="s">
        <v>69</v>
      </c>
      <c r="E886" s="45" t="s">
        <v>484</v>
      </c>
      <c r="F886" s="13" t="s">
        <v>109</v>
      </c>
      <c r="G886" s="14">
        <f>60+35</f>
        <v>95</v>
      </c>
      <c r="H886" s="87">
        <v>91.7</v>
      </c>
      <c r="I886" s="14">
        <f t="shared" si="129"/>
        <v>3.299999999999997</v>
      </c>
      <c r="J886" s="77">
        <f t="shared" si="130"/>
        <v>96.52631578947368</v>
      </c>
    </row>
    <row r="887" spans="1:10" ht="12.75">
      <c r="A887" s="46" t="s">
        <v>229</v>
      </c>
      <c r="B887" s="12" t="s">
        <v>563</v>
      </c>
      <c r="C887" s="13" t="s">
        <v>69</v>
      </c>
      <c r="D887" s="13" t="s">
        <v>69</v>
      </c>
      <c r="E887" s="45" t="s">
        <v>485</v>
      </c>
      <c r="F887" s="13"/>
      <c r="G887" s="14">
        <f>G888+G892</f>
        <v>90</v>
      </c>
      <c r="H887" s="87">
        <f>H888+H892</f>
        <v>88.7</v>
      </c>
      <c r="I887" s="14">
        <f t="shared" si="129"/>
        <v>1.2999999999999972</v>
      </c>
      <c r="J887" s="77">
        <f t="shared" si="130"/>
        <v>98.55555555555556</v>
      </c>
    </row>
    <row r="888" spans="1:10" ht="38.25">
      <c r="A888" s="46" t="s">
        <v>110</v>
      </c>
      <c r="B888" s="12" t="s">
        <v>563</v>
      </c>
      <c r="C888" s="13" t="s">
        <v>69</v>
      </c>
      <c r="D888" s="13" t="s">
        <v>69</v>
      </c>
      <c r="E888" s="45" t="s">
        <v>485</v>
      </c>
      <c r="F888" s="13" t="s">
        <v>111</v>
      </c>
      <c r="G888" s="14">
        <f>G889</f>
        <v>76</v>
      </c>
      <c r="H888" s="87">
        <f>H889</f>
        <v>74.7</v>
      </c>
      <c r="I888" s="14">
        <f t="shared" si="129"/>
        <v>1.2999999999999972</v>
      </c>
      <c r="J888" s="77">
        <f t="shared" si="130"/>
        <v>98.28947368421052</v>
      </c>
    </row>
    <row r="889" spans="1:10" ht="12.75">
      <c r="A889" s="69" t="s">
        <v>406</v>
      </c>
      <c r="B889" s="12" t="s">
        <v>563</v>
      </c>
      <c r="C889" s="13" t="s">
        <v>69</v>
      </c>
      <c r="D889" s="13" t="s">
        <v>69</v>
      </c>
      <c r="E889" s="45" t="s">
        <v>485</v>
      </c>
      <c r="F889" s="13" t="s">
        <v>408</v>
      </c>
      <c r="G889" s="14">
        <f>G890+G891</f>
        <v>76</v>
      </c>
      <c r="H889" s="87">
        <f>H890+H891</f>
        <v>74.7</v>
      </c>
      <c r="I889" s="14">
        <f t="shared" si="129"/>
        <v>1.2999999999999972</v>
      </c>
      <c r="J889" s="77">
        <f t="shared" si="130"/>
        <v>98.28947368421052</v>
      </c>
    </row>
    <row r="890" spans="1:10" ht="12.75">
      <c r="A890" s="46" t="s">
        <v>574</v>
      </c>
      <c r="B890" s="12" t="s">
        <v>563</v>
      </c>
      <c r="C890" s="13" t="s">
        <v>69</v>
      </c>
      <c r="D890" s="13" t="s">
        <v>69</v>
      </c>
      <c r="E890" s="45" t="s">
        <v>485</v>
      </c>
      <c r="F890" s="13" t="s">
        <v>407</v>
      </c>
      <c r="G890" s="14">
        <f>6+25+4</f>
        <v>35</v>
      </c>
      <c r="H890" s="87">
        <v>33.7</v>
      </c>
      <c r="I890" s="14">
        <f t="shared" si="129"/>
        <v>1.2999999999999972</v>
      </c>
      <c r="J890" s="77">
        <f t="shared" si="130"/>
        <v>96.28571428571429</v>
      </c>
    </row>
    <row r="891" spans="1:10" ht="25.5">
      <c r="A891" s="9" t="s">
        <v>753</v>
      </c>
      <c r="B891" s="12" t="s">
        <v>563</v>
      </c>
      <c r="C891" s="13" t="s">
        <v>69</v>
      </c>
      <c r="D891" s="13" t="s">
        <v>69</v>
      </c>
      <c r="E891" s="45" t="s">
        <v>485</v>
      </c>
      <c r="F891" s="13" t="s">
        <v>754</v>
      </c>
      <c r="G891" s="14">
        <f>31+10</f>
        <v>41</v>
      </c>
      <c r="H891" s="87">
        <v>41</v>
      </c>
      <c r="I891" s="14">
        <f t="shared" si="129"/>
        <v>0</v>
      </c>
      <c r="J891" s="77">
        <f t="shared" si="130"/>
        <v>100</v>
      </c>
    </row>
    <row r="892" spans="1:10" ht="25.5">
      <c r="A892" s="46" t="s">
        <v>770</v>
      </c>
      <c r="B892" s="12" t="s">
        <v>563</v>
      </c>
      <c r="C892" s="13" t="s">
        <v>69</v>
      </c>
      <c r="D892" s="13" t="s">
        <v>69</v>
      </c>
      <c r="E892" s="45" t="s">
        <v>485</v>
      </c>
      <c r="F892" s="13" t="s">
        <v>113</v>
      </c>
      <c r="G892" s="14">
        <f>G893</f>
        <v>14</v>
      </c>
      <c r="H892" s="87">
        <f>H893</f>
        <v>14</v>
      </c>
      <c r="I892" s="14">
        <f t="shared" si="129"/>
        <v>0</v>
      </c>
      <c r="J892" s="77">
        <f t="shared" si="130"/>
        <v>100</v>
      </c>
    </row>
    <row r="893" spans="1:10" ht="25.5">
      <c r="A893" s="46" t="s">
        <v>106</v>
      </c>
      <c r="B893" s="12" t="s">
        <v>563</v>
      </c>
      <c r="C893" s="13" t="s">
        <v>69</v>
      </c>
      <c r="D893" s="13" t="s">
        <v>69</v>
      </c>
      <c r="E893" s="45" t="s">
        <v>485</v>
      </c>
      <c r="F893" s="13" t="s">
        <v>107</v>
      </c>
      <c r="G893" s="14">
        <f>G894</f>
        <v>14</v>
      </c>
      <c r="H893" s="87">
        <f>H894</f>
        <v>14</v>
      </c>
      <c r="I893" s="14">
        <f t="shared" si="129"/>
        <v>0</v>
      </c>
      <c r="J893" s="77">
        <f t="shared" si="130"/>
        <v>100</v>
      </c>
    </row>
    <row r="894" spans="1:10" ht="25.5">
      <c r="A894" s="46" t="s">
        <v>108</v>
      </c>
      <c r="B894" s="12" t="s">
        <v>563</v>
      </c>
      <c r="C894" s="13" t="s">
        <v>69</v>
      </c>
      <c r="D894" s="13" t="s">
        <v>69</v>
      </c>
      <c r="E894" s="45" t="s">
        <v>485</v>
      </c>
      <c r="F894" s="13" t="s">
        <v>109</v>
      </c>
      <c r="G894" s="14">
        <f>30+35-10-31-10</f>
        <v>14</v>
      </c>
      <c r="H894" s="87">
        <v>14</v>
      </c>
      <c r="I894" s="14">
        <f t="shared" si="129"/>
        <v>0</v>
      </c>
      <c r="J894" s="77">
        <f t="shared" si="130"/>
        <v>100</v>
      </c>
    </row>
    <row r="895" spans="1:10" ht="12.75">
      <c r="A895" s="46" t="s">
        <v>230</v>
      </c>
      <c r="B895" s="12" t="s">
        <v>563</v>
      </c>
      <c r="C895" s="13" t="s">
        <v>69</v>
      </c>
      <c r="D895" s="13" t="s">
        <v>69</v>
      </c>
      <c r="E895" s="45" t="s">
        <v>486</v>
      </c>
      <c r="F895" s="13"/>
      <c r="G895" s="14">
        <f aca="true" t="shared" si="138" ref="G895:H897">G896</f>
        <v>35</v>
      </c>
      <c r="H895" s="87">
        <f t="shared" si="138"/>
        <v>35</v>
      </c>
      <c r="I895" s="14">
        <f t="shared" si="129"/>
        <v>0</v>
      </c>
      <c r="J895" s="77">
        <f t="shared" si="130"/>
        <v>100</v>
      </c>
    </row>
    <row r="896" spans="1:10" ht="25.5">
      <c r="A896" s="46" t="s">
        <v>770</v>
      </c>
      <c r="B896" s="12" t="s">
        <v>563</v>
      </c>
      <c r="C896" s="13" t="s">
        <v>69</v>
      </c>
      <c r="D896" s="13" t="s">
        <v>69</v>
      </c>
      <c r="E896" s="45" t="s">
        <v>486</v>
      </c>
      <c r="F896" s="13" t="s">
        <v>113</v>
      </c>
      <c r="G896" s="14">
        <f t="shared" si="138"/>
        <v>35</v>
      </c>
      <c r="H896" s="87">
        <f t="shared" si="138"/>
        <v>35</v>
      </c>
      <c r="I896" s="14">
        <f t="shared" si="129"/>
        <v>0</v>
      </c>
      <c r="J896" s="77">
        <f t="shared" si="130"/>
        <v>100</v>
      </c>
    </row>
    <row r="897" spans="1:10" ht="25.5">
      <c r="A897" s="46" t="s">
        <v>106</v>
      </c>
      <c r="B897" s="12" t="s">
        <v>563</v>
      </c>
      <c r="C897" s="13" t="s">
        <v>69</v>
      </c>
      <c r="D897" s="13" t="s">
        <v>69</v>
      </c>
      <c r="E897" s="45" t="s">
        <v>486</v>
      </c>
      <c r="F897" s="13" t="s">
        <v>107</v>
      </c>
      <c r="G897" s="14">
        <f t="shared" si="138"/>
        <v>35</v>
      </c>
      <c r="H897" s="87">
        <f t="shared" si="138"/>
        <v>35</v>
      </c>
      <c r="I897" s="14">
        <f t="shared" si="129"/>
        <v>0</v>
      </c>
      <c r="J897" s="77">
        <f t="shared" si="130"/>
        <v>100</v>
      </c>
    </row>
    <row r="898" spans="1:10" ht="25.5">
      <c r="A898" s="46" t="s">
        <v>108</v>
      </c>
      <c r="B898" s="12" t="s">
        <v>563</v>
      </c>
      <c r="C898" s="13" t="s">
        <v>69</v>
      </c>
      <c r="D898" s="13" t="s">
        <v>69</v>
      </c>
      <c r="E898" s="45" t="s">
        <v>486</v>
      </c>
      <c r="F898" s="13" t="s">
        <v>109</v>
      </c>
      <c r="G898" s="14">
        <v>35</v>
      </c>
      <c r="H898" s="87">
        <v>35</v>
      </c>
      <c r="I898" s="14">
        <f t="shared" si="129"/>
        <v>0</v>
      </c>
      <c r="J898" s="77">
        <f t="shared" si="130"/>
        <v>100</v>
      </c>
    </row>
    <row r="899" spans="1:10" ht="12.75">
      <c r="A899" s="46" t="s">
        <v>231</v>
      </c>
      <c r="B899" s="12" t="s">
        <v>563</v>
      </c>
      <c r="C899" s="13" t="s">
        <v>69</v>
      </c>
      <c r="D899" s="13" t="s">
        <v>69</v>
      </c>
      <c r="E899" s="45" t="s">
        <v>487</v>
      </c>
      <c r="F899" s="13"/>
      <c r="G899" s="14">
        <f aca="true" t="shared" si="139" ref="G899:H901">G900</f>
        <v>20</v>
      </c>
      <c r="H899" s="87">
        <f t="shared" si="139"/>
        <v>20</v>
      </c>
      <c r="I899" s="14">
        <f t="shared" si="129"/>
        <v>0</v>
      </c>
      <c r="J899" s="77">
        <f t="shared" si="130"/>
        <v>100</v>
      </c>
    </row>
    <row r="900" spans="1:10" ht="25.5">
      <c r="A900" s="46" t="s">
        <v>770</v>
      </c>
      <c r="B900" s="12" t="s">
        <v>563</v>
      </c>
      <c r="C900" s="13" t="s">
        <v>69</v>
      </c>
      <c r="D900" s="13" t="s">
        <v>69</v>
      </c>
      <c r="E900" s="45" t="s">
        <v>487</v>
      </c>
      <c r="F900" s="13" t="s">
        <v>113</v>
      </c>
      <c r="G900" s="14">
        <f t="shared" si="139"/>
        <v>20</v>
      </c>
      <c r="H900" s="87">
        <f t="shared" si="139"/>
        <v>20</v>
      </c>
      <c r="I900" s="14">
        <f t="shared" si="129"/>
        <v>0</v>
      </c>
      <c r="J900" s="77">
        <f t="shared" si="130"/>
        <v>100</v>
      </c>
    </row>
    <row r="901" spans="1:10" ht="25.5">
      <c r="A901" s="46" t="s">
        <v>106</v>
      </c>
      <c r="B901" s="12" t="s">
        <v>563</v>
      </c>
      <c r="C901" s="13" t="s">
        <v>69</v>
      </c>
      <c r="D901" s="13" t="s">
        <v>69</v>
      </c>
      <c r="E901" s="45" t="s">
        <v>487</v>
      </c>
      <c r="F901" s="13" t="s">
        <v>107</v>
      </c>
      <c r="G901" s="14">
        <f t="shared" si="139"/>
        <v>20</v>
      </c>
      <c r="H901" s="87">
        <f t="shared" si="139"/>
        <v>20</v>
      </c>
      <c r="I901" s="14">
        <f t="shared" si="129"/>
        <v>0</v>
      </c>
      <c r="J901" s="77">
        <f t="shared" si="130"/>
        <v>100</v>
      </c>
    </row>
    <row r="902" spans="1:10" ht="25.5">
      <c r="A902" s="46" t="s">
        <v>108</v>
      </c>
      <c r="B902" s="12" t="s">
        <v>563</v>
      </c>
      <c r="C902" s="13" t="s">
        <v>69</v>
      </c>
      <c r="D902" s="13" t="s">
        <v>69</v>
      </c>
      <c r="E902" s="45" t="s">
        <v>487</v>
      </c>
      <c r="F902" s="13" t="s">
        <v>109</v>
      </c>
      <c r="G902" s="14">
        <v>20</v>
      </c>
      <c r="H902" s="87">
        <v>20</v>
      </c>
      <c r="I902" s="14">
        <f t="shared" si="129"/>
        <v>0</v>
      </c>
      <c r="J902" s="77">
        <f t="shared" si="130"/>
        <v>100</v>
      </c>
    </row>
    <row r="903" spans="1:10" ht="25.5">
      <c r="A903" s="9" t="s">
        <v>745</v>
      </c>
      <c r="B903" s="12" t="s">
        <v>563</v>
      </c>
      <c r="C903" s="13" t="s">
        <v>69</v>
      </c>
      <c r="D903" s="13" t="s">
        <v>69</v>
      </c>
      <c r="E903" s="45" t="s">
        <v>760</v>
      </c>
      <c r="F903" s="13"/>
      <c r="G903" s="14">
        <f aca="true" t="shared" si="140" ref="G903:H905">G904</f>
        <v>661.4</v>
      </c>
      <c r="H903" s="87">
        <f t="shared" si="140"/>
        <v>0</v>
      </c>
      <c r="I903" s="14">
        <f t="shared" si="129"/>
        <v>661.4</v>
      </c>
      <c r="J903" s="77">
        <f t="shared" si="130"/>
        <v>0</v>
      </c>
    </row>
    <row r="904" spans="1:10" ht="25.5">
      <c r="A904" s="46" t="s">
        <v>770</v>
      </c>
      <c r="B904" s="12" t="s">
        <v>563</v>
      </c>
      <c r="C904" s="13" t="s">
        <v>69</v>
      </c>
      <c r="D904" s="13" t="s">
        <v>69</v>
      </c>
      <c r="E904" s="45" t="s">
        <v>760</v>
      </c>
      <c r="F904" s="13" t="s">
        <v>113</v>
      </c>
      <c r="G904" s="14">
        <f t="shared" si="140"/>
        <v>661.4</v>
      </c>
      <c r="H904" s="87">
        <f t="shared" si="140"/>
        <v>0</v>
      </c>
      <c r="I904" s="14">
        <f t="shared" si="129"/>
        <v>661.4</v>
      </c>
      <c r="J904" s="77">
        <f t="shared" si="130"/>
        <v>0</v>
      </c>
    </row>
    <row r="905" spans="1:10" ht="25.5">
      <c r="A905" s="9" t="s">
        <v>106</v>
      </c>
      <c r="B905" s="12" t="s">
        <v>563</v>
      </c>
      <c r="C905" s="13" t="s">
        <v>69</v>
      </c>
      <c r="D905" s="13" t="s">
        <v>69</v>
      </c>
      <c r="E905" s="45" t="s">
        <v>760</v>
      </c>
      <c r="F905" s="13" t="s">
        <v>107</v>
      </c>
      <c r="G905" s="14">
        <f t="shared" si="140"/>
        <v>661.4</v>
      </c>
      <c r="H905" s="87">
        <f t="shared" si="140"/>
        <v>0</v>
      </c>
      <c r="I905" s="14">
        <f t="shared" si="129"/>
        <v>661.4</v>
      </c>
      <c r="J905" s="77">
        <f t="shared" si="130"/>
        <v>0</v>
      </c>
    </row>
    <row r="906" spans="1:10" ht="25.5">
      <c r="A906" s="9" t="s">
        <v>108</v>
      </c>
      <c r="B906" s="12" t="s">
        <v>563</v>
      </c>
      <c r="C906" s="13" t="s">
        <v>69</v>
      </c>
      <c r="D906" s="13" t="s">
        <v>69</v>
      </c>
      <c r="E906" s="45" t="s">
        <v>760</v>
      </c>
      <c r="F906" s="13" t="s">
        <v>109</v>
      </c>
      <c r="G906" s="14">
        <f>661.5-0.1</f>
        <v>661.4</v>
      </c>
      <c r="H906" s="87">
        <v>0</v>
      </c>
      <c r="I906" s="14">
        <f aca="true" t="shared" si="141" ref="I906:I969">G906-H906</f>
        <v>661.4</v>
      </c>
      <c r="J906" s="77">
        <f aca="true" t="shared" si="142" ref="J906:J969">H906/G906*100</f>
        <v>0</v>
      </c>
    </row>
    <row r="907" spans="1:10" ht="25.5">
      <c r="A907" s="9" t="s">
        <v>746</v>
      </c>
      <c r="B907" s="12" t="s">
        <v>563</v>
      </c>
      <c r="C907" s="13" t="s">
        <v>69</v>
      </c>
      <c r="D907" s="13" t="s">
        <v>69</v>
      </c>
      <c r="E907" s="45" t="s">
        <v>761</v>
      </c>
      <c r="F907" s="13"/>
      <c r="G907" s="14">
        <f aca="true" t="shared" si="143" ref="G907:H909">G908</f>
        <v>10</v>
      </c>
      <c r="H907" s="87">
        <f t="shared" si="143"/>
        <v>0</v>
      </c>
      <c r="I907" s="14">
        <f t="shared" si="141"/>
        <v>10</v>
      </c>
      <c r="J907" s="77">
        <f t="shared" si="142"/>
        <v>0</v>
      </c>
    </row>
    <row r="908" spans="1:10" ht="25.5">
      <c r="A908" s="46" t="s">
        <v>770</v>
      </c>
      <c r="B908" s="12" t="s">
        <v>563</v>
      </c>
      <c r="C908" s="13" t="s">
        <v>69</v>
      </c>
      <c r="D908" s="13" t="s">
        <v>69</v>
      </c>
      <c r="E908" s="45" t="s">
        <v>761</v>
      </c>
      <c r="F908" s="13" t="s">
        <v>113</v>
      </c>
      <c r="G908" s="14">
        <f t="shared" si="143"/>
        <v>10</v>
      </c>
      <c r="H908" s="87">
        <f t="shared" si="143"/>
        <v>0</v>
      </c>
      <c r="I908" s="14">
        <f t="shared" si="141"/>
        <v>10</v>
      </c>
      <c r="J908" s="77">
        <f t="shared" si="142"/>
        <v>0</v>
      </c>
    </row>
    <row r="909" spans="1:10" ht="25.5">
      <c r="A909" s="9" t="s">
        <v>106</v>
      </c>
      <c r="B909" s="12" t="s">
        <v>563</v>
      </c>
      <c r="C909" s="13" t="s">
        <v>69</v>
      </c>
      <c r="D909" s="13" t="s">
        <v>69</v>
      </c>
      <c r="E909" s="45" t="s">
        <v>761</v>
      </c>
      <c r="F909" s="13" t="s">
        <v>107</v>
      </c>
      <c r="G909" s="14">
        <f t="shared" si="143"/>
        <v>10</v>
      </c>
      <c r="H909" s="87">
        <f t="shared" si="143"/>
        <v>0</v>
      </c>
      <c r="I909" s="14">
        <f t="shared" si="141"/>
        <v>10</v>
      </c>
      <c r="J909" s="77">
        <f t="shared" si="142"/>
        <v>0</v>
      </c>
    </row>
    <row r="910" spans="1:10" ht="25.5">
      <c r="A910" s="9" t="s">
        <v>108</v>
      </c>
      <c r="B910" s="12" t="s">
        <v>563</v>
      </c>
      <c r="C910" s="13" t="s">
        <v>69</v>
      </c>
      <c r="D910" s="13" t="s">
        <v>69</v>
      </c>
      <c r="E910" s="45" t="s">
        <v>761</v>
      </c>
      <c r="F910" s="13" t="s">
        <v>109</v>
      </c>
      <c r="G910" s="14">
        <v>10</v>
      </c>
      <c r="H910" s="87">
        <v>0</v>
      </c>
      <c r="I910" s="14">
        <f t="shared" si="141"/>
        <v>10</v>
      </c>
      <c r="J910" s="77">
        <f t="shared" si="142"/>
        <v>0</v>
      </c>
    </row>
    <row r="911" spans="1:10" ht="12.75">
      <c r="A911" s="46" t="s">
        <v>51</v>
      </c>
      <c r="B911" s="12" t="s">
        <v>563</v>
      </c>
      <c r="C911" s="13" t="s">
        <v>69</v>
      </c>
      <c r="D911" s="13" t="s">
        <v>69</v>
      </c>
      <c r="E911" s="13" t="s">
        <v>250</v>
      </c>
      <c r="F911" s="13"/>
      <c r="G911" s="14">
        <f aca="true" t="shared" si="144" ref="G911:H914">G912</f>
        <v>135</v>
      </c>
      <c r="H911" s="87">
        <f t="shared" si="144"/>
        <v>135</v>
      </c>
      <c r="I911" s="14">
        <f t="shared" si="141"/>
        <v>0</v>
      </c>
      <c r="J911" s="77">
        <f t="shared" si="142"/>
        <v>100</v>
      </c>
    </row>
    <row r="912" spans="1:10" ht="12.75">
      <c r="A912" s="46" t="s">
        <v>520</v>
      </c>
      <c r="B912" s="12" t="s">
        <v>563</v>
      </c>
      <c r="C912" s="13" t="s">
        <v>69</v>
      </c>
      <c r="D912" s="13" t="s">
        <v>69</v>
      </c>
      <c r="E912" s="13" t="s">
        <v>552</v>
      </c>
      <c r="F912" s="13"/>
      <c r="G912" s="14">
        <f t="shared" si="144"/>
        <v>135</v>
      </c>
      <c r="H912" s="87">
        <f t="shared" si="144"/>
        <v>135</v>
      </c>
      <c r="I912" s="14">
        <f t="shared" si="141"/>
        <v>0</v>
      </c>
      <c r="J912" s="77">
        <f t="shared" si="142"/>
        <v>100</v>
      </c>
    </row>
    <row r="913" spans="1:10" ht="25.5">
      <c r="A913" s="46" t="s">
        <v>770</v>
      </c>
      <c r="B913" s="12" t="s">
        <v>563</v>
      </c>
      <c r="C913" s="13" t="s">
        <v>69</v>
      </c>
      <c r="D913" s="13" t="s">
        <v>69</v>
      </c>
      <c r="E913" s="13" t="s">
        <v>552</v>
      </c>
      <c r="F913" s="13" t="s">
        <v>113</v>
      </c>
      <c r="G913" s="14">
        <f t="shared" si="144"/>
        <v>135</v>
      </c>
      <c r="H913" s="87">
        <f t="shared" si="144"/>
        <v>135</v>
      </c>
      <c r="I913" s="14">
        <f t="shared" si="141"/>
        <v>0</v>
      </c>
      <c r="J913" s="77">
        <f t="shared" si="142"/>
        <v>100</v>
      </c>
    </row>
    <row r="914" spans="1:10" ht="25.5">
      <c r="A914" s="46" t="s">
        <v>106</v>
      </c>
      <c r="B914" s="12" t="s">
        <v>563</v>
      </c>
      <c r="C914" s="13" t="s">
        <v>69</v>
      </c>
      <c r="D914" s="13" t="s">
        <v>69</v>
      </c>
      <c r="E914" s="13" t="s">
        <v>552</v>
      </c>
      <c r="F914" s="13" t="s">
        <v>107</v>
      </c>
      <c r="G914" s="14">
        <f t="shared" si="144"/>
        <v>135</v>
      </c>
      <c r="H914" s="87">
        <f t="shared" si="144"/>
        <v>135</v>
      </c>
      <c r="I914" s="14">
        <f t="shared" si="141"/>
        <v>0</v>
      </c>
      <c r="J914" s="77">
        <f t="shared" si="142"/>
        <v>100</v>
      </c>
    </row>
    <row r="915" spans="1:10" ht="25.5">
      <c r="A915" s="46" t="s">
        <v>108</v>
      </c>
      <c r="B915" s="12" t="s">
        <v>563</v>
      </c>
      <c r="C915" s="13" t="s">
        <v>69</v>
      </c>
      <c r="D915" s="13" t="s">
        <v>69</v>
      </c>
      <c r="E915" s="13" t="s">
        <v>552</v>
      </c>
      <c r="F915" s="13" t="s">
        <v>109</v>
      </c>
      <c r="G915" s="14">
        <f>35+100</f>
        <v>135</v>
      </c>
      <c r="H915" s="87">
        <v>135</v>
      </c>
      <c r="I915" s="14">
        <f t="shared" si="141"/>
        <v>0</v>
      </c>
      <c r="J915" s="77">
        <f t="shared" si="142"/>
        <v>100</v>
      </c>
    </row>
    <row r="916" spans="1:10" ht="12.75">
      <c r="A916" s="60" t="s">
        <v>156</v>
      </c>
      <c r="B916" s="12" t="s">
        <v>563</v>
      </c>
      <c r="C916" s="29" t="s">
        <v>73</v>
      </c>
      <c r="D916" s="29" t="s">
        <v>36</v>
      </c>
      <c r="E916" s="29"/>
      <c r="F916" s="29"/>
      <c r="G916" s="30">
        <f>G917+G997</f>
        <v>49703.5</v>
      </c>
      <c r="H916" s="105">
        <f>H917+H997</f>
        <v>49616.299999999996</v>
      </c>
      <c r="I916" s="30">
        <f t="shared" si="141"/>
        <v>87.20000000000437</v>
      </c>
      <c r="J916" s="82">
        <f t="shared" si="142"/>
        <v>99.82455963865723</v>
      </c>
    </row>
    <row r="917" spans="1:10" ht="12.75">
      <c r="A917" s="60" t="s">
        <v>12</v>
      </c>
      <c r="B917" s="12" t="s">
        <v>563</v>
      </c>
      <c r="C917" s="29" t="s">
        <v>73</v>
      </c>
      <c r="D917" s="29" t="s">
        <v>66</v>
      </c>
      <c r="E917" s="29"/>
      <c r="F917" s="29"/>
      <c r="G917" s="30">
        <f>G918+G931+G959+G969+G976+G990+G925+G945</f>
        <v>32477.399999999998</v>
      </c>
      <c r="H917" s="105">
        <f>H918+H931+H959+H969+H976+H990+H925+H945</f>
        <v>32458.399999999998</v>
      </c>
      <c r="I917" s="30">
        <f t="shared" si="141"/>
        <v>19</v>
      </c>
      <c r="J917" s="82">
        <f t="shared" si="142"/>
        <v>99.9414977799947</v>
      </c>
    </row>
    <row r="918" spans="1:10" ht="25.5">
      <c r="A918" s="46" t="s">
        <v>404</v>
      </c>
      <c r="B918" s="12" t="s">
        <v>563</v>
      </c>
      <c r="C918" s="13" t="s">
        <v>73</v>
      </c>
      <c r="D918" s="13" t="s">
        <v>66</v>
      </c>
      <c r="E918" s="13" t="s">
        <v>343</v>
      </c>
      <c r="F918" s="13"/>
      <c r="G918" s="14">
        <f aca="true" t="shared" si="145" ref="G918:H923">G919</f>
        <v>904.1</v>
      </c>
      <c r="H918" s="87">
        <f t="shared" si="145"/>
        <v>904.1</v>
      </c>
      <c r="I918" s="14">
        <f t="shared" si="141"/>
        <v>0</v>
      </c>
      <c r="J918" s="77">
        <f t="shared" si="142"/>
        <v>100</v>
      </c>
    </row>
    <row r="919" spans="1:10" ht="25.5">
      <c r="A919" s="46" t="s">
        <v>378</v>
      </c>
      <c r="B919" s="12" t="s">
        <v>563</v>
      </c>
      <c r="C919" s="13" t="s">
        <v>73</v>
      </c>
      <c r="D919" s="13" t="s">
        <v>66</v>
      </c>
      <c r="E919" s="32" t="s">
        <v>379</v>
      </c>
      <c r="F919" s="13"/>
      <c r="G919" s="14">
        <f t="shared" si="145"/>
        <v>904.1</v>
      </c>
      <c r="H919" s="87">
        <f t="shared" si="145"/>
        <v>904.1</v>
      </c>
      <c r="I919" s="14">
        <f t="shared" si="141"/>
        <v>0</v>
      </c>
      <c r="J919" s="77">
        <f t="shared" si="142"/>
        <v>100</v>
      </c>
    </row>
    <row r="920" spans="1:10" ht="24.75" customHeight="1">
      <c r="A920" s="46" t="s">
        <v>389</v>
      </c>
      <c r="B920" s="12" t="s">
        <v>563</v>
      </c>
      <c r="C920" s="13" t="s">
        <v>73</v>
      </c>
      <c r="D920" s="13" t="s">
        <v>66</v>
      </c>
      <c r="E920" s="32" t="s">
        <v>390</v>
      </c>
      <c r="F920" s="13"/>
      <c r="G920" s="14">
        <f t="shared" si="145"/>
        <v>904.1</v>
      </c>
      <c r="H920" s="87">
        <f t="shared" si="145"/>
        <v>904.1</v>
      </c>
      <c r="I920" s="14">
        <f t="shared" si="141"/>
        <v>0</v>
      </c>
      <c r="J920" s="77">
        <f t="shared" si="142"/>
        <v>100</v>
      </c>
    </row>
    <row r="921" spans="1:10" ht="54" customHeight="1">
      <c r="A921" s="46" t="s">
        <v>569</v>
      </c>
      <c r="B921" s="12" t="s">
        <v>563</v>
      </c>
      <c r="C921" s="13" t="s">
        <v>73</v>
      </c>
      <c r="D921" s="13" t="s">
        <v>66</v>
      </c>
      <c r="E921" s="13" t="s">
        <v>388</v>
      </c>
      <c r="F921" s="13"/>
      <c r="G921" s="14">
        <f t="shared" si="145"/>
        <v>904.1</v>
      </c>
      <c r="H921" s="87">
        <f t="shared" si="145"/>
        <v>904.1</v>
      </c>
      <c r="I921" s="14">
        <f t="shared" si="141"/>
        <v>0</v>
      </c>
      <c r="J921" s="77">
        <f t="shared" si="142"/>
        <v>100</v>
      </c>
    </row>
    <row r="922" spans="1:10" ht="27" customHeight="1">
      <c r="A922" s="46" t="s">
        <v>114</v>
      </c>
      <c r="B922" s="12" t="s">
        <v>563</v>
      </c>
      <c r="C922" s="13" t="s">
        <v>73</v>
      </c>
      <c r="D922" s="13" t="s">
        <v>66</v>
      </c>
      <c r="E922" s="13" t="s">
        <v>388</v>
      </c>
      <c r="F922" s="13" t="s">
        <v>115</v>
      </c>
      <c r="G922" s="14">
        <f t="shared" si="145"/>
        <v>904.1</v>
      </c>
      <c r="H922" s="87">
        <f t="shared" si="145"/>
        <v>904.1</v>
      </c>
      <c r="I922" s="14">
        <f t="shared" si="141"/>
        <v>0</v>
      </c>
      <c r="J922" s="77">
        <f t="shared" si="142"/>
        <v>100</v>
      </c>
    </row>
    <row r="923" spans="1:10" ht="16.5" customHeight="1">
      <c r="A923" s="46" t="s">
        <v>120</v>
      </c>
      <c r="B923" s="12" t="s">
        <v>563</v>
      </c>
      <c r="C923" s="13" t="s">
        <v>73</v>
      </c>
      <c r="D923" s="13" t="s">
        <v>66</v>
      </c>
      <c r="E923" s="13" t="s">
        <v>388</v>
      </c>
      <c r="F923" s="13" t="s">
        <v>121</v>
      </c>
      <c r="G923" s="14">
        <f t="shared" si="145"/>
        <v>904.1</v>
      </c>
      <c r="H923" s="87">
        <f t="shared" si="145"/>
        <v>904.1</v>
      </c>
      <c r="I923" s="14">
        <f t="shared" si="141"/>
        <v>0</v>
      </c>
      <c r="J923" s="77">
        <f t="shared" si="142"/>
        <v>100</v>
      </c>
    </row>
    <row r="924" spans="1:10" ht="16.5" customHeight="1">
      <c r="A924" s="46" t="s">
        <v>124</v>
      </c>
      <c r="B924" s="12" t="s">
        <v>563</v>
      </c>
      <c r="C924" s="13" t="s">
        <v>73</v>
      </c>
      <c r="D924" s="13" t="s">
        <v>66</v>
      </c>
      <c r="E924" s="13" t="s">
        <v>388</v>
      </c>
      <c r="F924" s="13" t="s">
        <v>125</v>
      </c>
      <c r="G924" s="14">
        <v>904.1</v>
      </c>
      <c r="H924" s="87">
        <v>904.1</v>
      </c>
      <c r="I924" s="14">
        <f t="shared" si="141"/>
        <v>0</v>
      </c>
      <c r="J924" s="77">
        <f t="shared" si="142"/>
        <v>100</v>
      </c>
    </row>
    <row r="925" spans="1:10" ht="31.5" customHeight="1">
      <c r="A925" s="46" t="s">
        <v>355</v>
      </c>
      <c r="B925" s="12" t="s">
        <v>563</v>
      </c>
      <c r="C925" s="13" t="s">
        <v>73</v>
      </c>
      <c r="D925" s="13" t="s">
        <v>66</v>
      </c>
      <c r="E925" s="45" t="s">
        <v>222</v>
      </c>
      <c r="F925" s="13"/>
      <c r="G925" s="14">
        <f aca="true" t="shared" si="146" ref="G925:H929">G926</f>
        <v>292.3</v>
      </c>
      <c r="H925" s="87">
        <f t="shared" si="146"/>
        <v>292.3</v>
      </c>
      <c r="I925" s="14">
        <f t="shared" si="141"/>
        <v>0</v>
      </c>
      <c r="J925" s="77">
        <f t="shared" si="142"/>
        <v>100</v>
      </c>
    </row>
    <row r="926" spans="1:10" ht="26.25" customHeight="1">
      <c r="A926" s="46" t="s">
        <v>299</v>
      </c>
      <c r="B926" s="12" t="s">
        <v>563</v>
      </c>
      <c r="C926" s="13" t="s">
        <v>73</v>
      </c>
      <c r="D926" s="13" t="s">
        <v>66</v>
      </c>
      <c r="E926" s="45" t="s">
        <v>488</v>
      </c>
      <c r="F926" s="13"/>
      <c r="G926" s="14">
        <f t="shared" si="146"/>
        <v>292.3</v>
      </c>
      <c r="H926" s="87">
        <f t="shared" si="146"/>
        <v>292.3</v>
      </c>
      <c r="I926" s="14">
        <f t="shared" si="141"/>
        <v>0</v>
      </c>
      <c r="J926" s="77">
        <f t="shared" si="142"/>
        <v>100</v>
      </c>
    </row>
    <row r="927" spans="1:10" ht="16.5" customHeight="1">
      <c r="A927" s="46" t="s">
        <v>232</v>
      </c>
      <c r="B927" s="12" t="s">
        <v>563</v>
      </c>
      <c r="C927" s="13" t="s">
        <v>73</v>
      </c>
      <c r="D927" s="13" t="s">
        <v>66</v>
      </c>
      <c r="E927" s="45" t="s">
        <v>489</v>
      </c>
      <c r="F927" s="13"/>
      <c r="G927" s="14">
        <f t="shared" si="146"/>
        <v>292.3</v>
      </c>
      <c r="H927" s="87">
        <f t="shared" si="146"/>
        <v>292.3</v>
      </c>
      <c r="I927" s="14">
        <f t="shared" si="141"/>
        <v>0</v>
      </c>
      <c r="J927" s="77">
        <f t="shared" si="142"/>
        <v>100</v>
      </c>
    </row>
    <row r="928" spans="1:10" ht="27" customHeight="1">
      <c r="A928" s="46" t="s">
        <v>114</v>
      </c>
      <c r="B928" s="12" t="s">
        <v>563</v>
      </c>
      <c r="C928" s="13" t="s">
        <v>73</v>
      </c>
      <c r="D928" s="13" t="s">
        <v>66</v>
      </c>
      <c r="E928" s="45" t="s">
        <v>489</v>
      </c>
      <c r="F928" s="13" t="s">
        <v>115</v>
      </c>
      <c r="G928" s="14">
        <f t="shared" si="146"/>
        <v>292.3</v>
      </c>
      <c r="H928" s="87">
        <f t="shared" si="146"/>
        <v>292.3</v>
      </c>
      <c r="I928" s="14">
        <f t="shared" si="141"/>
        <v>0</v>
      </c>
      <c r="J928" s="77">
        <f t="shared" si="142"/>
        <v>100</v>
      </c>
    </row>
    <row r="929" spans="1:10" ht="16.5" customHeight="1">
      <c r="A929" s="46" t="s">
        <v>120</v>
      </c>
      <c r="B929" s="12" t="s">
        <v>563</v>
      </c>
      <c r="C929" s="13" t="s">
        <v>73</v>
      </c>
      <c r="D929" s="13" t="s">
        <v>66</v>
      </c>
      <c r="E929" s="45" t="s">
        <v>489</v>
      </c>
      <c r="F929" s="13" t="s">
        <v>121</v>
      </c>
      <c r="G929" s="14">
        <f t="shared" si="146"/>
        <v>292.3</v>
      </c>
      <c r="H929" s="87">
        <f t="shared" si="146"/>
        <v>292.3</v>
      </c>
      <c r="I929" s="14">
        <f t="shared" si="141"/>
        <v>0</v>
      </c>
      <c r="J929" s="77">
        <f t="shared" si="142"/>
        <v>100</v>
      </c>
    </row>
    <row r="930" spans="1:10" ht="16.5" customHeight="1">
      <c r="A930" s="46" t="s">
        <v>124</v>
      </c>
      <c r="B930" s="12" t="s">
        <v>563</v>
      </c>
      <c r="C930" s="13" t="s">
        <v>73</v>
      </c>
      <c r="D930" s="13" t="s">
        <v>66</v>
      </c>
      <c r="E930" s="45" t="s">
        <v>489</v>
      </c>
      <c r="F930" s="13" t="s">
        <v>125</v>
      </c>
      <c r="G930" s="14">
        <f>300-7.7</f>
        <v>292.3</v>
      </c>
      <c r="H930" s="87">
        <v>292.3</v>
      </c>
      <c r="I930" s="14">
        <f t="shared" si="141"/>
        <v>0</v>
      </c>
      <c r="J930" s="77">
        <f t="shared" si="142"/>
        <v>100</v>
      </c>
    </row>
    <row r="931" spans="1:10" ht="31.5" customHeight="1">
      <c r="A931" s="46" t="s">
        <v>361</v>
      </c>
      <c r="B931" s="12" t="s">
        <v>563</v>
      </c>
      <c r="C931" s="13" t="s">
        <v>73</v>
      </c>
      <c r="D931" s="13" t="s">
        <v>66</v>
      </c>
      <c r="E931" s="45" t="s">
        <v>206</v>
      </c>
      <c r="F931" s="13"/>
      <c r="G931" s="14">
        <f>G932</f>
        <v>226.6</v>
      </c>
      <c r="H931" s="87">
        <f>H932</f>
        <v>226.6</v>
      </c>
      <c r="I931" s="14">
        <f t="shared" si="141"/>
        <v>0</v>
      </c>
      <c r="J931" s="77">
        <f t="shared" si="142"/>
        <v>100</v>
      </c>
    </row>
    <row r="932" spans="1:10" ht="25.5">
      <c r="A932" s="46" t="s">
        <v>290</v>
      </c>
      <c r="B932" s="12" t="s">
        <v>563</v>
      </c>
      <c r="C932" s="13" t="s">
        <v>73</v>
      </c>
      <c r="D932" s="13" t="s">
        <v>66</v>
      </c>
      <c r="E932" s="45" t="s">
        <v>453</v>
      </c>
      <c r="F932" s="13"/>
      <c r="G932" s="14">
        <f>G933+G937+G941</f>
        <v>226.6</v>
      </c>
      <c r="H932" s="87">
        <f>H933+H937+H941</f>
        <v>226.6</v>
      </c>
      <c r="I932" s="14">
        <f t="shared" si="141"/>
        <v>0</v>
      </c>
      <c r="J932" s="77">
        <f t="shared" si="142"/>
        <v>100</v>
      </c>
    </row>
    <row r="933" spans="1:10" ht="12.75">
      <c r="A933" s="46" t="s">
        <v>205</v>
      </c>
      <c r="B933" s="12" t="s">
        <v>563</v>
      </c>
      <c r="C933" s="13" t="s">
        <v>73</v>
      </c>
      <c r="D933" s="13" t="s">
        <v>66</v>
      </c>
      <c r="E933" s="45" t="s">
        <v>454</v>
      </c>
      <c r="F933" s="13"/>
      <c r="G933" s="14">
        <f aca="true" t="shared" si="147" ref="G933:H935">G934</f>
        <v>142.6</v>
      </c>
      <c r="H933" s="87">
        <f t="shared" si="147"/>
        <v>142.6</v>
      </c>
      <c r="I933" s="14">
        <f t="shared" si="141"/>
        <v>0</v>
      </c>
      <c r="J933" s="77">
        <f t="shared" si="142"/>
        <v>100</v>
      </c>
    </row>
    <row r="934" spans="1:10" ht="25.5">
      <c r="A934" s="46" t="s">
        <v>114</v>
      </c>
      <c r="B934" s="12" t="s">
        <v>563</v>
      </c>
      <c r="C934" s="13" t="s">
        <v>73</v>
      </c>
      <c r="D934" s="13" t="s">
        <v>66</v>
      </c>
      <c r="E934" s="45" t="s">
        <v>454</v>
      </c>
      <c r="F934" s="13" t="s">
        <v>115</v>
      </c>
      <c r="G934" s="14">
        <f t="shared" si="147"/>
        <v>142.6</v>
      </c>
      <c r="H934" s="87">
        <f t="shared" si="147"/>
        <v>142.6</v>
      </c>
      <c r="I934" s="14">
        <f t="shared" si="141"/>
        <v>0</v>
      </c>
      <c r="J934" s="77">
        <f t="shared" si="142"/>
        <v>100</v>
      </c>
    </row>
    <row r="935" spans="1:10" ht="12.75">
      <c r="A935" s="46" t="s">
        <v>120</v>
      </c>
      <c r="B935" s="12" t="s">
        <v>563</v>
      </c>
      <c r="C935" s="13" t="s">
        <v>73</v>
      </c>
      <c r="D935" s="13" t="s">
        <v>66</v>
      </c>
      <c r="E935" s="45" t="s">
        <v>454</v>
      </c>
      <c r="F935" s="13" t="s">
        <v>121</v>
      </c>
      <c r="G935" s="14">
        <f t="shared" si="147"/>
        <v>142.6</v>
      </c>
      <c r="H935" s="87">
        <f t="shared" si="147"/>
        <v>142.6</v>
      </c>
      <c r="I935" s="14">
        <f t="shared" si="141"/>
        <v>0</v>
      </c>
      <c r="J935" s="77">
        <f t="shared" si="142"/>
        <v>100</v>
      </c>
    </row>
    <row r="936" spans="1:10" ht="12.75">
      <c r="A936" s="46" t="s">
        <v>124</v>
      </c>
      <c r="B936" s="12" t="s">
        <v>563</v>
      </c>
      <c r="C936" s="13" t="s">
        <v>73</v>
      </c>
      <c r="D936" s="13" t="s">
        <v>66</v>
      </c>
      <c r="E936" s="45" t="s">
        <v>454</v>
      </c>
      <c r="F936" s="13" t="s">
        <v>125</v>
      </c>
      <c r="G936" s="14">
        <f>160-17.4</f>
        <v>142.6</v>
      </c>
      <c r="H936" s="87">
        <v>142.6</v>
      </c>
      <c r="I936" s="14">
        <f t="shared" si="141"/>
        <v>0</v>
      </c>
      <c r="J936" s="77">
        <f t="shared" si="142"/>
        <v>100</v>
      </c>
    </row>
    <row r="937" spans="1:10" ht="12.75">
      <c r="A937" s="46" t="s">
        <v>213</v>
      </c>
      <c r="B937" s="12" t="s">
        <v>563</v>
      </c>
      <c r="C937" s="13" t="s">
        <v>73</v>
      </c>
      <c r="D937" s="13" t="s">
        <v>66</v>
      </c>
      <c r="E937" s="45" t="s">
        <v>461</v>
      </c>
      <c r="F937" s="13"/>
      <c r="G937" s="14">
        <f aca="true" t="shared" si="148" ref="G937:H939">G938</f>
        <v>80</v>
      </c>
      <c r="H937" s="87">
        <f t="shared" si="148"/>
        <v>80</v>
      </c>
      <c r="I937" s="14">
        <f t="shared" si="141"/>
        <v>0</v>
      </c>
      <c r="J937" s="77">
        <f t="shared" si="142"/>
        <v>100</v>
      </c>
    </row>
    <row r="938" spans="1:10" ht="25.5">
      <c r="A938" s="46" t="s">
        <v>114</v>
      </c>
      <c r="B938" s="12" t="s">
        <v>563</v>
      </c>
      <c r="C938" s="13" t="s">
        <v>73</v>
      </c>
      <c r="D938" s="13" t="s">
        <v>66</v>
      </c>
      <c r="E938" s="45" t="s">
        <v>461</v>
      </c>
      <c r="F938" s="13" t="s">
        <v>115</v>
      </c>
      <c r="G938" s="14">
        <f t="shared" si="148"/>
        <v>80</v>
      </c>
      <c r="H938" s="87">
        <f t="shared" si="148"/>
        <v>80</v>
      </c>
      <c r="I938" s="14">
        <f t="shared" si="141"/>
        <v>0</v>
      </c>
      <c r="J938" s="77">
        <f t="shared" si="142"/>
        <v>100</v>
      </c>
    </row>
    <row r="939" spans="1:10" ht="12.75">
      <c r="A939" s="46" t="s">
        <v>120</v>
      </c>
      <c r="B939" s="12" t="s">
        <v>563</v>
      </c>
      <c r="C939" s="13" t="s">
        <v>73</v>
      </c>
      <c r="D939" s="13" t="s">
        <v>66</v>
      </c>
      <c r="E939" s="45" t="s">
        <v>461</v>
      </c>
      <c r="F939" s="13" t="s">
        <v>121</v>
      </c>
      <c r="G939" s="14">
        <f t="shared" si="148"/>
        <v>80</v>
      </c>
      <c r="H939" s="87">
        <f t="shared" si="148"/>
        <v>80</v>
      </c>
      <c r="I939" s="14">
        <f t="shared" si="141"/>
        <v>0</v>
      </c>
      <c r="J939" s="77">
        <f t="shared" si="142"/>
        <v>100</v>
      </c>
    </row>
    <row r="940" spans="1:10" ht="12.75">
      <c r="A940" s="46" t="s">
        <v>124</v>
      </c>
      <c r="B940" s="12" t="s">
        <v>563</v>
      </c>
      <c r="C940" s="13" t="s">
        <v>73</v>
      </c>
      <c r="D940" s="13" t="s">
        <v>66</v>
      </c>
      <c r="E940" s="45" t="s">
        <v>461</v>
      </c>
      <c r="F940" s="13" t="s">
        <v>125</v>
      </c>
      <c r="G940" s="14">
        <v>80</v>
      </c>
      <c r="H940" s="87">
        <v>80</v>
      </c>
      <c r="I940" s="14">
        <f t="shared" si="141"/>
        <v>0</v>
      </c>
      <c r="J940" s="77">
        <f t="shared" si="142"/>
        <v>100</v>
      </c>
    </row>
    <row r="941" spans="1:10" ht="12.75">
      <c r="A941" s="46" t="s">
        <v>226</v>
      </c>
      <c r="B941" s="12" t="s">
        <v>563</v>
      </c>
      <c r="C941" s="13" t="s">
        <v>73</v>
      </c>
      <c r="D941" s="13" t="s">
        <v>66</v>
      </c>
      <c r="E941" s="45" t="s">
        <v>480</v>
      </c>
      <c r="F941" s="13"/>
      <c r="G941" s="14">
        <f aca="true" t="shared" si="149" ref="G941:H943">G942</f>
        <v>4</v>
      </c>
      <c r="H941" s="87">
        <f t="shared" si="149"/>
        <v>4</v>
      </c>
      <c r="I941" s="14">
        <f t="shared" si="141"/>
        <v>0</v>
      </c>
      <c r="J941" s="77">
        <f t="shared" si="142"/>
        <v>100</v>
      </c>
    </row>
    <row r="942" spans="1:10" ht="25.5">
      <c r="A942" s="46" t="s">
        <v>114</v>
      </c>
      <c r="B942" s="12" t="s">
        <v>563</v>
      </c>
      <c r="C942" s="13" t="s">
        <v>73</v>
      </c>
      <c r="D942" s="13" t="s">
        <v>66</v>
      </c>
      <c r="E942" s="45" t="s">
        <v>480</v>
      </c>
      <c r="F942" s="13" t="s">
        <v>115</v>
      </c>
      <c r="G942" s="14">
        <f t="shared" si="149"/>
        <v>4</v>
      </c>
      <c r="H942" s="87">
        <f t="shared" si="149"/>
        <v>4</v>
      </c>
      <c r="I942" s="14">
        <f t="shared" si="141"/>
        <v>0</v>
      </c>
      <c r="J942" s="77">
        <f t="shared" si="142"/>
        <v>100</v>
      </c>
    </row>
    <row r="943" spans="1:10" ht="12.75">
      <c r="A943" s="46" t="s">
        <v>120</v>
      </c>
      <c r="B943" s="12" t="s">
        <v>563</v>
      </c>
      <c r="C943" s="13" t="s">
        <v>73</v>
      </c>
      <c r="D943" s="13" t="s">
        <v>66</v>
      </c>
      <c r="E943" s="45" t="s">
        <v>480</v>
      </c>
      <c r="F943" s="13" t="s">
        <v>121</v>
      </c>
      <c r="G943" s="14">
        <f t="shared" si="149"/>
        <v>4</v>
      </c>
      <c r="H943" s="87">
        <f t="shared" si="149"/>
        <v>4</v>
      </c>
      <c r="I943" s="14">
        <f t="shared" si="141"/>
        <v>0</v>
      </c>
      <c r="J943" s="77">
        <f t="shared" si="142"/>
        <v>100</v>
      </c>
    </row>
    <row r="944" spans="1:10" ht="12.75">
      <c r="A944" s="46" t="s">
        <v>124</v>
      </c>
      <c r="B944" s="12" t="s">
        <v>563</v>
      </c>
      <c r="C944" s="13" t="s">
        <v>73</v>
      </c>
      <c r="D944" s="13" t="s">
        <v>66</v>
      </c>
      <c r="E944" s="45" t="s">
        <v>480</v>
      </c>
      <c r="F944" s="13" t="s">
        <v>125</v>
      </c>
      <c r="G944" s="14">
        <f>8-4</f>
        <v>4</v>
      </c>
      <c r="H944" s="87">
        <v>4</v>
      </c>
      <c r="I944" s="14">
        <f t="shared" si="141"/>
        <v>0</v>
      </c>
      <c r="J944" s="77">
        <f t="shared" si="142"/>
        <v>100</v>
      </c>
    </row>
    <row r="945" spans="1:10" ht="25.5">
      <c r="A945" s="25" t="s">
        <v>366</v>
      </c>
      <c r="B945" s="12" t="s">
        <v>563</v>
      </c>
      <c r="C945" s="13" t="s">
        <v>73</v>
      </c>
      <c r="D945" s="13" t="s">
        <v>66</v>
      </c>
      <c r="E945" s="45" t="s">
        <v>234</v>
      </c>
      <c r="F945" s="13"/>
      <c r="G945" s="14">
        <f>G946</f>
        <v>183.1</v>
      </c>
      <c r="H945" s="87">
        <f>H946</f>
        <v>183.1</v>
      </c>
      <c r="I945" s="14">
        <f t="shared" si="141"/>
        <v>0</v>
      </c>
      <c r="J945" s="77">
        <f t="shared" si="142"/>
        <v>100</v>
      </c>
    </row>
    <row r="946" spans="1:10" ht="25.5">
      <c r="A946" s="9" t="s">
        <v>703</v>
      </c>
      <c r="B946" s="12" t="s">
        <v>563</v>
      </c>
      <c r="C946" s="13" t="s">
        <v>73</v>
      </c>
      <c r="D946" s="13" t="s">
        <v>66</v>
      </c>
      <c r="E946" s="45" t="s">
        <v>704</v>
      </c>
      <c r="F946" s="13"/>
      <c r="G946" s="14">
        <f>G951+G955+G947</f>
        <v>183.1</v>
      </c>
      <c r="H946" s="87">
        <f>H951+H955+H947</f>
        <v>183.1</v>
      </c>
      <c r="I946" s="14">
        <f t="shared" si="141"/>
        <v>0</v>
      </c>
      <c r="J946" s="77">
        <f t="shared" si="142"/>
        <v>100</v>
      </c>
    </row>
    <row r="947" spans="1:10" ht="25.5">
      <c r="A947" s="9" t="s">
        <v>723</v>
      </c>
      <c r="B947" s="12" t="s">
        <v>563</v>
      </c>
      <c r="C947" s="13" t="s">
        <v>73</v>
      </c>
      <c r="D947" s="13" t="s">
        <v>66</v>
      </c>
      <c r="E947" s="47" t="s">
        <v>710</v>
      </c>
      <c r="F947" s="13"/>
      <c r="G947" s="14">
        <f aca="true" t="shared" si="150" ref="G947:H949">G948</f>
        <v>2.4</v>
      </c>
      <c r="H947" s="87">
        <f t="shared" si="150"/>
        <v>2.4</v>
      </c>
      <c r="I947" s="14">
        <f t="shared" si="141"/>
        <v>0</v>
      </c>
      <c r="J947" s="77">
        <f t="shared" si="142"/>
        <v>100</v>
      </c>
    </row>
    <row r="948" spans="1:10" ht="25.5">
      <c r="A948" s="9" t="s">
        <v>114</v>
      </c>
      <c r="B948" s="12" t="s">
        <v>563</v>
      </c>
      <c r="C948" s="13" t="s">
        <v>73</v>
      </c>
      <c r="D948" s="13" t="s">
        <v>66</v>
      </c>
      <c r="E948" s="47" t="s">
        <v>710</v>
      </c>
      <c r="F948" s="13" t="s">
        <v>115</v>
      </c>
      <c r="G948" s="14">
        <f t="shared" si="150"/>
        <v>2.4</v>
      </c>
      <c r="H948" s="87">
        <f t="shared" si="150"/>
        <v>2.4</v>
      </c>
      <c r="I948" s="14">
        <f t="shared" si="141"/>
        <v>0</v>
      </c>
      <c r="J948" s="77">
        <f t="shared" si="142"/>
        <v>100</v>
      </c>
    </row>
    <row r="949" spans="1:10" ht="12.75">
      <c r="A949" s="9" t="s">
        <v>120</v>
      </c>
      <c r="B949" s="12" t="s">
        <v>563</v>
      </c>
      <c r="C949" s="13" t="s">
        <v>73</v>
      </c>
      <c r="D949" s="13" t="s">
        <v>66</v>
      </c>
      <c r="E949" s="47" t="s">
        <v>710</v>
      </c>
      <c r="F949" s="13" t="s">
        <v>121</v>
      </c>
      <c r="G949" s="14">
        <f t="shared" si="150"/>
        <v>2.4</v>
      </c>
      <c r="H949" s="87">
        <f t="shared" si="150"/>
        <v>2.4</v>
      </c>
      <c r="I949" s="14">
        <f t="shared" si="141"/>
        <v>0</v>
      </c>
      <c r="J949" s="77">
        <f t="shared" si="142"/>
        <v>100</v>
      </c>
    </row>
    <row r="950" spans="1:10" ht="12.75">
      <c r="A950" s="9" t="s">
        <v>124</v>
      </c>
      <c r="B950" s="12" t="s">
        <v>563</v>
      </c>
      <c r="C950" s="13" t="s">
        <v>73</v>
      </c>
      <c r="D950" s="13" t="s">
        <v>66</v>
      </c>
      <c r="E950" s="47" t="s">
        <v>710</v>
      </c>
      <c r="F950" s="13" t="s">
        <v>125</v>
      </c>
      <c r="G950" s="14">
        <f>2.8-0.4</f>
        <v>2.4</v>
      </c>
      <c r="H950" s="87">
        <v>2.4</v>
      </c>
      <c r="I950" s="14">
        <f t="shared" si="141"/>
        <v>0</v>
      </c>
      <c r="J950" s="77">
        <f t="shared" si="142"/>
        <v>100</v>
      </c>
    </row>
    <row r="951" spans="1:10" ht="25.5">
      <c r="A951" s="9" t="s">
        <v>705</v>
      </c>
      <c r="B951" s="12" t="s">
        <v>563</v>
      </c>
      <c r="C951" s="13" t="s">
        <v>73</v>
      </c>
      <c r="D951" s="13" t="s">
        <v>66</v>
      </c>
      <c r="E951" s="13" t="s">
        <v>706</v>
      </c>
      <c r="F951" s="13"/>
      <c r="G951" s="14">
        <f aca="true" t="shared" si="151" ref="G951:H953">G952</f>
        <v>170.7</v>
      </c>
      <c r="H951" s="87">
        <f t="shared" si="151"/>
        <v>170.7</v>
      </c>
      <c r="I951" s="14">
        <f t="shared" si="141"/>
        <v>0</v>
      </c>
      <c r="J951" s="77">
        <f t="shared" si="142"/>
        <v>100</v>
      </c>
    </row>
    <row r="952" spans="1:10" ht="25.5">
      <c r="A952" s="9" t="s">
        <v>114</v>
      </c>
      <c r="B952" s="12" t="s">
        <v>563</v>
      </c>
      <c r="C952" s="13" t="s">
        <v>73</v>
      </c>
      <c r="D952" s="13" t="s">
        <v>66</v>
      </c>
      <c r="E952" s="13" t="s">
        <v>706</v>
      </c>
      <c r="F952" s="13" t="s">
        <v>115</v>
      </c>
      <c r="G952" s="14">
        <f t="shared" si="151"/>
        <v>170.7</v>
      </c>
      <c r="H952" s="87">
        <f t="shared" si="151"/>
        <v>170.7</v>
      </c>
      <c r="I952" s="14">
        <f t="shared" si="141"/>
        <v>0</v>
      </c>
      <c r="J952" s="77">
        <f t="shared" si="142"/>
        <v>100</v>
      </c>
    </row>
    <row r="953" spans="1:10" ht="12.75">
      <c r="A953" s="9" t="s">
        <v>120</v>
      </c>
      <c r="B953" s="12" t="s">
        <v>563</v>
      </c>
      <c r="C953" s="13" t="s">
        <v>73</v>
      </c>
      <c r="D953" s="13" t="s">
        <v>66</v>
      </c>
      <c r="E953" s="13" t="s">
        <v>706</v>
      </c>
      <c r="F953" s="13" t="s">
        <v>121</v>
      </c>
      <c r="G953" s="14">
        <f t="shared" si="151"/>
        <v>170.7</v>
      </c>
      <c r="H953" s="87">
        <f t="shared" si="151"/>
        <v>170.7</v>
      </c>
      <c r="I953" s="14">
        <f t="shared" si="141"/>
        <v>0</v>
      </c>
      <c r="J953" s="77">
        <f t="shared" si="142"/>
        <v>100</v>
      </c>
    </row>
    <row r="954" spans="1:10" ht="12.75">
      <c r="A954" s="9" t="s">
        <v>124</v>
      </c>
      <c r="B954" s="12" t="s">
        <v>563</v>
      </c>
      <c r="C954" s="13" t="s">
        <v>73</v>
      </c>
      <c r="D954" s="13" t="s">
        <v>66</v>
      </c>
      <c r="E954" s="13" t="s">
        <v>706</v>
      </c>
      <c r="F954" s="13" t="s">
        <v>125</v>
      </c>
      <c r="G954" s="14">
        <v>170.7</v>
      </c>
      <c r="H954" s="87">
        <v>170.7</v>
      </c>
      <c r="I954" s="14">
        <f t="shared" si="141"/>
        <v>0</v>
      </c>
      <c r="J954" s="77">
        <f t="shared" si="142"/>
        <v>100</v>
      </c>
    </row>
    <row r="955" spans="1:10" ht="25.5">
      <c r="A955" s="9" t="s">
        <v>707</v>
      </c>
      <c r="B955" s="12" t="s">
        <v>563</v>
      </c>
      <c r="C955" s="13" t="s">
        <v>73</v>
      </c>
      <c r="D955" s="13" t="s">
        <v>66</v>
      </c>
      <c r="E955" s="13" t="s">
        <v>708</v>
      </c>
      <c r="F955" s="13"/>
      <c r="G955" s="14">
        <f aca="true" t="shared" si="152" ref="G955:H957">G956</f>
        <v>10</v>
      </c>
      <c r="H955" s="87">
        <f t="shared" si="152"/>
        <v>10</v>
      </c>
      <c r="I955" s="14">
        <f t="shared" si="141"/>
        <v>0</v>
      </c>
      <c r="J955" s="77">
        <f t="shared" si="142"/>
        <v>100</v>
      </c>
    </row>
    <row r="956" spans="1:10" ht="25.5">
      <c r="A956" s="9" t="s">
        <v>114</v>
      </c>
      <c r="B956" s="12" t="s">
        <v>563</v>
      </c>
      <c r="C956" s="13" t="s">
        <v>73</v>
      </c>
      <c r="D956" s="13" t="s">
        <v>66</v>
      </c>
      <c r="E956" s="13" t="s">
        <v>708</v>
      </c>
      <c r="F956" s="13" t="s">
        <v>115</v>
      </c>
      <c r="G956" s="14">
        <f t="shared" si="152"/>
        <v>10</v>
      </c>
      <c r="H956" s="87">
        <f t="shared" si="152"/>
        <v>10</v>
      </c>
      <c r="I956" s="14">
        <f t="shared" si="141"/>
        <v>0</v>
      </c>
      <c r="J956" s="77">
        <f t="shared" si="142"/>
        <v>100</v>
      </c>
    </row>
    <row r="957" spans="1:10" ht="12.75">
      <c r="A957" s="9" t="s">
        <v>120</v>
      </c>
      <c r="B957" s="12" t="s">
        <v>563</v>
      </c>
      <c r="C957" s="13" t="s">
        <v>73</v>
      </c>
      <c r="D957" s="13" t="s">
        <v>66</v>
      </c>
      <c r="E957" s="13" t="s">
        <v>708</v>
      </c>
      <c r="F957" s="13" t="s">
        <v>121</v>
      </c>
      <c r="G957" s="14">
        <f t="shared" si="152"/>
        <v>10</v>
      </c>
      <c r="H957" s="87">
        <f t="shared" si="152"/>
        <v>10</v>
      </c>
      <c r="I957" s="14">
        <f t="shared" si="141"/>
        <v>0</v>
      </c>
      <c r="J957" s="77">
        <f t="shared" si="142"/>
        <v>100</v>
      </c>
    </row>
    <row r="958" spans="1:10" ht="12.75">
      <c r="A958" s="9" t="s">
        <v>124</v>
      </c>
      <c r="B958" s="12" t="s">
        <v>563</v>
      </c>
      <c r="C958" s="13" t="s">
        <v>73</v>
      </c>
      <c r="D958" s="13" t="s">
        <v>66</v>
      </c>
      <c r="E958" s="13" t="s">
        <v>708</v>
      </c>
      <c r="F958" s="13" t="s">
        <v>125</v>
      </c>
      <c r="G958" s="14">
        <v>10</v>
      </c>
      <c r="H958" s="87">
        <v>10</v>
      </c>
      <c r="I958" s="14">
        <f t="shared" si="141"/>
        <v>0</v>
      </c>
      <c r="J958" s="77">
        <f t="shared" si="142"/>
        <v>100</v>
      </c>
    </row>
    <row r="959" spans="1:10" ht="12.75">
      <c r="A959" s="46" t="s">
        <v>503</v>
      </c>
      <c r="B959" s="12" t="s">
        <v>563</v>
      </c>
      <c r="C959" s="13" t="s">
        <v>73</v>
      </c>
      <c r="D959" s="13" t="s">
        <v>66</v>
      </c>
      <c r="E959" s="13" t="s">
        <v>252</v>
      </c>
      <c r="F959" s="13"/>
      <c r="G959" s="14">
        <f>G960</f>
        <v>655.1999999999999</v>
      </c>
      <c r="H959" s="87">
        <f>H960</f>
        <v>655.1999999999999</v>
      </c>
      <c r="I959" s="14">
        <f t="shared" si="141"/>
        <v>0</v>
      </c>
      <c r="J959" s="77">
        <f t="shared" si="142"/>
        <v>100</v>
      </c>
    </row>
    <row r="960" spans="1:10" ht="12.75">
      <c r="A960" s="46" t="s">
        <v>506</v>
      </c>
      <c r="B960" s="12" t="s">
        <v>563</v>
      </c>
      <c r="C960" s="13" t="s">
        <v>73</v>
      </c>
      <c r="D960" s="13" t="s">
        <v>66</v>
      </c>
      <c r="E960" s="13" t="s">
        <v>501</v>
      </c>
      <c r="F960" s="13"/>
      <c r="G960" s="14">
        <f>G961+G965</f>
        <v>655.1999999999999</v>
      </c>
      <c r="H960" s="87">
        <f>H961+H965</f>
        <v>655.1999999999999</v>
      </c>
      <c r="I960" s="14">
        <f t="shared" si="141"/>
        <v>0</v>
      </c>
      <c r="J960" s="77">
        <f t="shared" si="142"/>
        <v>100</v>
      </c>
    </row>
    <row r="961" spans="1:10" ht="45.75" customHeight="1">
      <c r="A961" s="46" t="s">
        <v>381</v>
      </c>
      <c r="B961" s="12" t="s">
        <v>563</v>
      </c>
      <c r="C961" s="13" t="s">
        <v>73</v>
      </c>
      <c r="D961" s="13" t="s">
        <v>66</v>
      </c>
      <c r="E961" s="13" t="s">
        <v>502</v>
      </c>
      <c r="F961" s="13"/>
      <c r="G961" s="14">
        <f aca="true" t="shared" si="153" ref="G961:H963">G962</f>
        <v>616.3</v>
      </c>
      <c r="H961" s="87">
        <f t="shared" si="153"/>
        <v>616.3</v>
      </c>
      <c r="I961" s="14">
        <f t="shared" si="141"/>
        <v>0</v>
      </c>
      <c r="J961" s="77">
        <f t="shared" si="142"/>
        <v>100</v>
      </c>
    </row>
    <row r="962" spans="1:10" ht="25.5">
      <c r="A962" s="46" t="s">
        <v>114</v>
      </c>
      <c r="B962" s="12" t="s">
        <v>563</v>
      </c>
      <c r="C962" s="13" t="s">
        <v>73</v>
      </c>
      <c r="D962" s="13" t="s">
        <v>66</v>
      </c>
      <c r="E962" s="13" t="s">
        <v>502</v>
      </c>
      <c r="F962" s="13" t="s">
        <v>115</v>
      </c>
      <c r="G962" s="14">
        <f t="shared" si="153"/>
        <v>616.3</v>
      </c>
      <c r="H962" s="87">
        <f t="shared" si="153"/>
        <v>616.3</v>
      </c>
      <c r="I962" s="14">
        <f t="shared" si="141"/>
        <v>0</v>
      </c>
      <c r="J962" s="77">
        <f t="shared" si="142"/>
        <v>100</v>
      </c>
    </row>
    <row r="963" spans="1:10" ht="12.75">
      <c r="A963" s="46" t="s">
        <v>120</v>
      </c>
      <c r="B963" s="12" t="s">
        <v>563</v>
      </c>
      <c r="C963" s="13" t="s">
        <v>73</v>
      </c>
      <c r="D963" s="13" t="s">
        <v>66</v>
      </c>
      <c r="E963" s="13" t="s">
        <v>502</v>
      </c>
      <c r="F963" s="13" t="s">
        <v>121</v>
      </c>
      <c r="G963" s="14">
        <f t="shared" si="153"/>
        <v>616.3</v>
      </c>
      <c r="H963" s="87">
        <f t="shared" si="153"/>
        <v>616.3</v>
      </c>
      <c r="I963" s="14">
        <f t="shared" si="141"/>
        <v>0</v>
      </c>
      <c r="J963" s="77">
        <f t="shared" si="142"/>
        <v>100</v>
      </c>
    </row>
    <row r="964" spans="1:10" ht="12.75">
      <c r="A964" s="46" t="s">
        <v>124</v>
      </c>
      <c r="B964" s="12" t="s">
        <v>563</v>
      </c>
      <c r="C964" s="13" t="s">
        <v>73</v>
      </c>
      <c r="D964" s="13" t="s">
        <v>66</v>
      </c>
      <c r="E964" s="13" t="s">
        <v>502</v>
      </c>
      <c r="F964" s="13" t="s">
        <v>125</v>
      </c>
      <c r="G964" s="14">
        <f>920-10-60-233.7</f>
        <v>616.3</v>
      </c>
      <c r="H964" s="87">
        <v>616.3</v>
      </c>
      <c r="I964" s="14">
        <f t="shared" si="141"/>
        <v>0</v>
      </c>
      <c r="J964" s="77">
        <f t="shared" si="142"/>
        <v>100</v>
      </c>
    </row>
    <row r="965" spans="1:10" ht="12.75">
      <c r="A965" s="46" t="s">
        <v>272</v>
      </c>
      <c r="B965" s="12" t="s">
        <v>563</v>
      </c>
      <c r="C965" s="13" t="s">
        <v>73</v>
      </c>
      <c r="D965" s="13" t="s">
        <v>66</v>
      </c>
      <c r="E965" s="13" t="s">
        <v>505</v>
      </c>
      <c r="F965" s="13"/>
      <c r="G965" s="14">
        <f aca="true" t="shared" si="154" ref="G965:H967">G966</f>
        <v>38.9</v>
      </c>
      <c r="H965" s="87">
        <f t="shared" si="154"/>
        <v>38.9</v>
      </c>
      <c r="I965" s="14">
        <f t="shared" si="141"/>
        <v>0</v>
      </c>
      <c r="J965" s="77">
        <f t="shared" si="142"/>
        <v>100</v>
      </c>
    </row>
    <row r="966" spans="1:10" ht="25.5">
      <c r="A966" s="46" t="s">
        <v>114</v>
      </c>
      <c r="B966" s="12" t="s">
        <v>563</v>
      </c>
      <c r="C966" s="13" t="s">
        <v>73</v>
      </c>
      <c r="D966" s="13" t="s">
        <v>66</v>
      </c>
      <c r="E966" s="13" t="s">
        <v>505</v>
      </c>
      <c r="F966" s="13" t="s">
        <v>115</v>
      </c>
      <c r="G966" s="14">
        <f t="shared" si="154"/>
        <v>38.9</v>
      </c>
      <c r="H966" s="87">
        <f t="shared" si="154"/>
        <v>38.9</v>
      </c>
      <c r="I966" s="14">
        <f t="shared" si="141"/>
        <v>0</v>
      </c>
      <c r="J966" s="77">
        <f t="shared" si="142"/>
        <v>100</v>
      </c>
    </row>
    <row r="967" spans="1:10" ht="12.75">
      <c r="A967" s="46" t="s">
        <v>120</v>
      </c>
      <c r="B967" s="12" t="s">
        <v>563</v>
      </c>
      <c r="C967" s="13" t="s">
        <v>73</v>
      </c>
      <c r="D967" s="13" t="s">
        <v>66</v>
      </c>
      <c r="E967" s="13" t="s">
        <v>505</v>
      </c>
      <c r="F967" s="13" t="s">
        <v>121</v>
      </c>
      <c r="G967" s="14">
        <f t="shared" si="154"/>
        <v>38.9</v>
      </c>
      <c r="H967" s="87">
        <f t="shared" si="154"/>
        <v>38.9</v>
      </c>
      <c r="I967" s="14">
        <f t="shared" si="141"/>
        <v>0</v>
      </c>
      <c r="J967" s="77">
        <f t="shared" si="142"/>
        <v>100</v>
      </c>
    </row>
    <row r="968" spans="1:10" ht="20.25" customHeight="1">
      <c r="A968" s="46" t="s">
        <v>124</v>
      </c>
      <c r="B968" s="12" t="s">
        <v>563</v>
      </c>
      <c r="C968" s="13" t="s">
        <v>73</v>
      </c>
      <c r="D968" s="13" t="s">
        <v>66</v>
      </c>
      <c r="E968" s="13" t="s">
        <v>505</v>
      </c>
      <c r="F968" s="13" t="s">
        <v>125</v>
      </c>
      <c r="G968" s="14">
        <f>8+10-13.4+34.3</f>
        <v>38.9</v>
      </c>
      <c r="H968" s="87">
        <v>38.9</v>
      </c>
      <c r="I968" s="14">
        <f t="shared" si="141"/>
        <v>0</v>
      </c>
      <c r="J968" s="77">
        <f t="shared" si="142"/>
        <v>100</v>
      </c>
    </row>
    <row r="969" spans="1:10" ht="12.75">
      <c r="A969" s="46" t="s">
        <v>345</v>
      </c>
      <c r="B969" s="12" t="s">
        <v>563</v>
      </c>
      <c r="C969" s="13" t="s">
        <v>73</v>
      </c>
      <c r="D969" s="13" t="s">
        <v>66</v>
      </c>
      <c r="E969" s="13" t="s">
        <v>249</v>
      </c>
      <c r="F969" s="13"/>
      <c r="G969" s="14">
        <f>G970</f>
        <v>14574</v>
      </c>
      <c r="H969" s="87">
        <f>H970</f>
        <v>14560.9</v>
      </c>
      <c r="I969" s="14">
        <f t="shared" si="141"/>
        <v>13.100000000000364</v>
      </c>
      <c r="J969" s="77">
        <f t="shared" si="142"/>
        <v>99.91011390146836</v>
      </c>
    </row>
    <row r="970" spans="1:10" ht="30" customHeight="1">
      <c r="A970" s="46" t="s">
        <v>289</v>
      </c>
      <c r="B970" s="12" t="s">
        <v>563</v>
      </c>
      <c r="C970" s="13" t="s">
        <v>73</v>
      </c>
      <c r="D970" s="13" t="s">
        <v>66</v>
      </c>
      <c r="E970" s="13" t="s">
        <v>521</v>
      </c>
      <c r="F970" s="13"/>
      <c r="G970" s="14">
        <f>G972</f>
        <v>14574</v>
      </c>
      <c r="H970" s="87">
        <f>H972</f>
        <v>14560.9</v>
      </c>
      <c r="I970" s="14">
        <f aca="true" t="shared" si="155" ref="I970:I1033">G970-H970</f>
        <v>13.100000000000364</v>
      </c>
      <c r="J970" s="77">
        <f aca="true" t="shared" si="156" ref="J970:J1033">H970/G970*100</f>
        <v>99.91011390146836</v>
      </c>
    </row>
    <row r="971" spans="1:10" ht="18" customHeight="1">
      <c r="A971" s="46" t="s">
        <v>288</v>
      </c>
      <c r="B971" s="12" t="s">
        <v>563</v>
      </c>
      <c r="C971" s="13" t="s">
        <v>73</v>
      </c>
      <c r="D971" s="13" t="s">
        <v>66</v>
      </c>
      <c r="E971" s="13" t="s">
        <v>522</v>
      </c>
      <c r="F971" s="13"/>
      <c r="G971" s="14">
        <f>G972</f>
        <v>14574</v>
      </c>
      <c r="H971" s="87">
        <f>H972</f>
        <v>14560.9</v>
      </c>
      <c r="I971" s="14">
        <f t="shared" si="155"/>
        <v>13.100000000000364</v>
      </c>
      <c r="J971" s="77">
        <f t="shared" si="156"/>
        <v>99.91011390146836</v>
      </c>
    </row>
    <row r="972" spans="1:10" ht="25.5">
      <c r="A972" s="46" t="s">
        <v>114</v>
      </c>
      <c r="B972" s="12" t="s">
        <v>563</v>
      </c>
      <c r="C972" s="13" t="s">
        <v>73</v>
      </c>
      <c r="D972" s="13" t="s">
        <v>66</v>
      </c>
      <c r="E972" s="13" t="s">
        <v>522</v>
      </c>
      <c r="F972" s="13" t="s">
        <v>115</v>
      </c>
      <c r="G972" s="14">
        <f>G973</f>
        <v>14574</v>
      </c>
      <c r="H972" s="87">
        <f>H973</f>
        <v>14560.9</v>
      </c>
      <c r="I972" s="14">
        <f t="shared" si="155"/>
        <v>13.100000000000364</v>
      </c>
      <c r="J972" s="77">
        <f t="shared" si="156"/>
        <v>99.91011390146836</v>
      </c>
    </row>
    <row r="973" spans="1:10" ht="12.75">
      <c r="A973" s="46" t="s">
        <v>120</v>
      </c>
      <c r="B973" s="12" t="s">
        <v>563</v>
      </c>
      <c r="C973" s="13" t="s">
        <v>73</v>
      </c>
      <c r="D973" s="13" t="s">
        <v>66</v>
      </c>
      <c r="E973" s="13" t="s">
        <v>522</v>
      </c>
      <c r="F973" s="13" t="s">
        <v>121</v>
      </c>
      <c r="G973" s="14">
        <f>G974+G975</f>
        <v>14574</v>
      </c>
      <c r="H973" s="87">
        <f>H974+H975</f>
        <v>14560.9</v>
      </c>
      <c r="I973" s="14">
        <f t="shared" si="155"/>
        <v>13.100000000000364</v>
      </c>
      <c r="J973" s="77">
        <f t="shared" si="156"/>
        <v>99.91011390146836</v>
      </c>
    </row>
    <row r="974" spans="1:10" ht="38.25">
      <c r="A974" s="46" t="s">
        <v>122</v>
      </c>
      <c r="B974" s="12" t="s">
        <v>563</v>
      </c>
      <c r="C974" s="13" t="s">
        <v>73</v>
      </c>
      <c r="D974" s="13" t="s">
        <v>66</v>
      </c>
      <c r="E974" s="13" t="s">
        <v>522</v>
      </c>
      <c r="F974" s="13" t="s">
        <v>123</v>
      </c>
      <c r="G974" s="14">
        <f>14031.1+227.9+315</f>
        <v>14574</v>
      </c>
      <c r="H974" s="87">
        <v>14560.9</v>
      </c>
      <c r="I974" s="14">
        <f t="shared" si="155"/>
        <v>13.100000000000364</v>
      </c>
      <c r="J974" s="77">
        <f t="shared" si="156"/>
        <v>99.91011390146836</v>
      </c>
    </row>
    <row r="975" spans="1:10" ht="12.75">
      <c r="A975" s="46" t="s">
        <v>124</v>
      </c>
      <c r="B975" s="12" t="s">
        <v>563</v>
      </c>
      <c r="C975" s="13" t="s">
        <v>73</v>
      </c>
      <c r="D975" s="13" t="s">
        <v>66</v>
      </c>
      <c r="E975" s="13" t="s">
        <v>522</v>
      </c>
      <c r="F975" s="13" t="s">
        <v>125</v>
      </c>
      <c r="G975" s="14">
        <f>250-250</f>
        <v>0</v>
      </c>
      <c r="H975" s="87">
        <v>0</v>
      </c>
      <c r="I975" s="14">
        <f t="shared" si="155"/>
        <v>0</v>
      </c>
      <c r="J975" s="77" t="e">
        <f t="shared" si="156"/>
        <v>#DIV/0!</v>
      </c>
    </row>
    <row r="976" spans="1:10" ht="12.75">
      <c r="A976" s="46" t="s">
        <v>83</v>
      </c>
      <c r="B976" s="12" t="s">
        <v>563</v>
      </c>
      <c r="C976" s="13" t="s">
        <v>73</v>
      </c>
      <c r="D976" s="13" t="s">
        <v>66</v>
      </c>
      <c r="E976" s="13" t="s">
        <v>262</v>
      </c>
      <c r="F976" s="13"/>
      <c r="G976" s="14">
        <f>G977</f>
        <v>1797.8000000000002</v>
      </c>
      <c r="H976" s="87">
        <f>H977</f>
        <v>1791.9</v>
      </c>
      <c r="I976" s="14">
        <f t="shared" si="155"/>
        <v>5.900000000000091</v>
      </c>
      <c r="J976" s="77">
        <f t="shared" si="156"/>
        <v>99.67182111469573</v>
      </c>
    </row>
    <row r="977" spans="1:10" ht="25.5">
      <c r="A977" s="46" t="s">
        <v>289</v>
      </c>
      <c r="B977" s="12" t="s">
        <v>563</v>
      </c>
      <c r="C977" s="13" t="s">
        <v>73</v>
      </c>
      <c r="D977" s="13" t="s">
        <v>66</v>
      </c>
      <c r="E977" s="13" t="s">
        <v>523</v>
      </c>
      <c r="F977" s="13"/>
      <c r="G977" s="14">
        <f>G978</f>
        <v>1797.8000000000002</v>
      </c>
      <c r="H977" s="87">
        <f>H978</f>
        <v>1791.9</v>
      </c>
      <c r="I977" s="14">
        <f t="shared" si="155"/>
        <v>5.900000000000091</v>
      </c>
      <c r="J977" s="77">
        <f t="shared" si="156"/>
        <v>99.67182111469573</v>
      </c>
    </row>
    <row r="978" spans="1:10" ht="12.75">
      <c r="A978" s="46" t="s">
        <v>524</v>
      </c>
      <c r="B978" s="12" t="s">
        <v>563</v>
      </c>
      <c r="C978" s="13" t="s">
        <v>73</v>
      </c>
      <c r="D978" s="13" t="s">
        <v>66</v>
      </c>
      <c r="E978" s="13" t="s">
        <v>553</v>
      </c>
      <c r="F978" s="13"/>
      <c r="G978" s="14">
        <f>G979+G984+G987</f>
        <v>1797.8000000000002</v>
      </c>
      <c r="H978" s="87">
        <f>H979+H984+H987</f>
        <v>1791.9</v>
      </c>
      <c r="I978" s="14">
        <f t="shared" si="155"/>
        <v>5.900000000000091</v>
      </c>
      <c r="J978" s="77">
        <f t="shared" si="156"/>
        <v>99.67182111469573</v>
      </c>
    </row>
    <row r="979" spans="1:10" ht="38.25">
      <c r="A979" s="46" t="s">
        <v>110</v>
      </c>
      <c r="B979" s="12" t="s">
        <v>563</v>
      </c>
      <c r="C979" s="13" t="s">
        <v>73</v>
      </c>
      <c r="D979" s="13" t="s">
        <v>66</v>
      </c>
      <c r="E979" s="13" t="s">
        <v>553</v>
      </c>
      <c r="F979" s="13" t="s">
        <v>111</v>
      </c>
      <c r="G979" s="14">
        <f>G980</f>
        <v>1382.7</v>
      </c>
      <c r="H979" s="87">
        <f>H980</f>
        <v>1382.5</v>
      </c>
      <c r="I979" s="14">
        <f t="shared" si="155"/>
        <v>0.20000000000004547</v>
      </c>
      <c r="J979" s="77">
        <f t="shared" si="156"/>
        <v>99.98553554639473</v>
      </c>
    </row>
    <row r="980" spans="1:10" ht="12.75">
      <c r="A980" s="69" t="s">
        <v>406</v>
      </c>
      <c r="B980" s="12" t="s">
        <v>563</v>
      </c>
      <c r="C980" s="13" t="s">
        <v>73</v>
      </c>
      <c r="D980" s="13" t="s">
        <v>66</v>
      </c>
      <c r="E980" s="13" t="s">
        <v>553</v>
      </c>
      <c r="F980" s="13" t="s">
        <v>408</v>
      </c>
      <c r="G980" s="14">
        <f>G981+G982+G983</f>
        <v>1382.7</v>
      </c>
      <c r="H980" s="87">
        <f>H981+H982+H983</f>
        <v>1382.5</v>
      </c>
      <c r="I980" s="14">
        <f t="shared" si="155"/>
        <v>0.20000000000004547</v>
      </c>
      <c r="J980" s="77">
        <f t="shared" si="156"/>
        <v>99.98553554639473</v>
      </c>
    </row>
    <row r="981" spans="1:10" ht="12.75">
      <c r="A981" s="46" t="s">
        <v>573</v>
      </c>
      <c r="B981" s="12" t="s">
        <v>563</v>
      </c>
      <c r="C981" s="13" t="s">
        <v>73</v>
      </c>
      <c r="D981" s="13" t="s">
        <v>66</v>
      </c>
      <c r="E981" s="13" t="s">
        <v>553</v>
      </c>
      <c r="F981" s="13" t="s">
        <v>409</v>
      </c>
      <c r="G981" s="14">
        <f>1230.6-190+29.4</f>
        <v>1070</v>
      </c>
      <c r="H981" s="87">
        <v>1069.9</v>
      </c>
      <c r="I981" s="14">
        <f t="shared" si="155"/>
        <v>0.09999999999990905</v>
      </c>
      <c r="J981" s="77">
        <f t="shared" si="156"/>
        <v>99.99065420560748</v>
      </c>
    </row>
    <row r="982" spans="1:10" ht="12.75">
      <c r="A982" s="46" t="s">
        <v>574</v>
      </c>
      <c r="B982" s="12" t="s">
        <v>563</v>
      </c>
      <c r="C982" s="13" t="s">
        <v>73</v>
      </c>
      <c r="D982" s="13" t="s">
        <v>66</v>
      </c>
      <c r="E982" s="13" t="s">
        <v>553</v>
      </c>
      <c r="F982" s="13" t="s">
        <v>407</v>
      </c>
      <c r="G982" s="14">
        <f>2+5+2.4+0.1-9.5</f>
        <v>0</v>
      </c>
      <c r="H982" s="87">
        <v>0</v>
      </c>
      <c r="I982" s="14">
        <f t="shared" si="155"/>
        <v>0</v>
      </c>
      <c r="J982" s="77" t="e">
        <f t="shared" si="156"/>
        <v>#DIV/0!</v>
      </c>
    </row>
    <row r="983" spans="1:10" ht="25.5">
      <c r="A983" s="46" t="s">
        <v>576</v>
      </c>
      <c r="B983" s="12" t="s">
        <v>563</v>
      </c>
      <c r="C983" s="13" t="s">
        <v>73</v>
      </c>
      <c r="D983" s="13" t="s">
        <v>66</v>
      </c>
      <c r="E983" s="13" t="s">
        <v>553</v>
      </c>
      <c r="F983" s="13" t="s">
        <v>410</v>
      </c>
      <c r="G983" s="14">
        <f>371.6-60+1.1</f>
        <v>312.70000000000005</v>
      </c>
      <c r="H983" s="87">
        <v>312.6</v>
      </c>
      <c r="I983" s="14">
        <f t="shared" si="155"/>
        <v>0.10000000000002274</v>
      </c>
      <c r="J983" s="77">
        <f t="shared" si="156"/>
        <v>99.96802046690118</v>
      </c>
    </row>
    <row r="984" spans="1:10" ht="25.5">
      <c r="A984" s="46" t="s">
        <v>770</v>
      </c>
      <c r="B984" s="12" t="s">
        <v>563</v>
      </c>
      <c r="C984" s="13" t="s">
        <v>73</v>
      </c>
      <c r="D984" s="13" t="s">
        <v>66</v>
      </c>
      <c r="E984" s="13" t="s">
        <v>553</v>
      </c>
      <c r="F984" s="13" t="s">
        <v>113</v>
      </c>
      <c r="G984" s="14">
        <f>G985</f>
        <v>412.1</v>
      </c>
      <c r="H984" s="87">
        <f>H985</f>
        <v>406.4</v>
      </c>
      <c r="I984" s="14">
        <f t="shared" si="155"/>
        <v>5.7000000000000455</v>
      </c>
      <c r="J984" s="77">
        <f t="shared" si="156"/>
        <v>98.61684057267652</v>
      </c>
    </row>
    <row r="985" spans="1:10" ht="25.5">
      <c r="A985" s="46" t="s">
        <v>106</v>
      </c>
      <c r="B985" s="12" t="s">
        <v>563</v>
      </c>
      <c r="C985" s="13" t="s">
        <v>73</v>
      </c>
      <c r="D985" s="13" t="s">
        <v>66</v>
      </c>
      <c r="E985" s="13" t="s">
        <v>553</v>
      </c>
      <c r="F985" s="13" t="s">
        <v>107</v>
      </c>
      <c r="G985" s="14">
        <f>G986</f>
        <v>412.1</v>
      </c>
      <c r="H985" s="87">
        <f>H986</f>
        <v>406.4</v>
      </c>
      <c r="I985" s="14">
        <f t="shared" si="155"/>
        <v>5.7000000000000455</v>
      </c>
      <c r="J985" s="77">
        <f t="shared" si="156"/>
        <v>98.61684057267652</v>
      </c>
    </row>
    <row r="986" spans="1:10" ht="25.5">
      <c r="A986" s="46" t="s">
        <v>108</v>
      </c>
      <c r="B986" s="12" t="s">
        <v>563</v>
      </c>
      <c r="C986" s="13" t="s">
        <v>73</v>
      </c>
      <c r="D986" s="13" t="s">
        <v>66</v>
      </c>
      <c r="E986" s="13" t="s">
        <v>553</v>
      </c>
      <c r="F986" s="13" t="s">
        <v>109</v>
      </c>
      <c r="G986" s="14">
        <f>24.6+107+218+65+3.1+0.7-0.1+9.5-15.7</f>
        <v>412.1</v>
      </c>
      <c r="H986" s="87">
        <v>406.4</v>
      </c>
      <c r="I986" s="14">
        <f t="shared" si="155"/>
        <v>5.7000000000000455</v>
      </c>
      <c r="J986" s="77">
        <f t="shared" si="156"/>
        <v>98.61684057267652</v>
      </c>
    </row>
    <row r="987" spans="1:10" ht="12.75">
      <c r="A987" s="46" t="s">
        <v>137</v>
      </c>
      <c r="B987" s="12" t="s">
        <v>563</v>
      </c>
      <c r="C987" s="13" t="s">
        <v>73</v>
      </c>
      <c r="D987" s="13" t="s">
        <v>66</v>
      </c>
      <c r="E987" s="13" t="s">
        <v>553</v>
      </c>
      <c r="F987" s="13" t="s">
        <v>138</v>
      </c>
      <c r="G987" s="14">
        <f>G988</f>
        <v>3</v>
      </c>
      <c r="H987" s="87">
        <f>H988</f>
        <v>3</v>
      </c>
      <c r="I987" s="14">
        <f t="shared" si="155"/>
        <v>0</v>
      </c>
      <c r="J987" s="77">
        <f t="shared" si="156"/>
        <v>100</v>
      </c>
    </row>
    <row r="988" spans="1:10" ht="12.75">
      <c r="A988" s="46" t="s">
        <v>140</v>
      </c>
      <c r="B988" s="12" t="s">
        <v>563</v>
      </c>
      <c r="C988" s="13" t="s">
        <v>73</v>
      </c>
      <c r="D988" s="13" t="s">
        <v>66</v>
      </c>
      <c r="E988" s="13" t="s">
        <v>553</v>
      </c>
      <c r="F988" s="13" t="s">
        <v>141</v>
      </c>
      <c r="G988" s="14">
        <f>G989</f>
        <v>3</v>
      </c>
      <c r="H988" s="87">
        <f>H989</f>
        <v>3</v>
      </c>
      <c r="I988" s="14">
        <f t="shared" si="155"/>
        <v>0</v>
      </c>
      <c r="J988" s="77">
        <f t="shared" si="156"/>
        <v>100</v>
      </c>
    </row>
    <row r="989" spans="1:10" ht="12.75">
      <c r="A989" s="46" t="s">
        <v>142</v>
      </c>
      <c r="B989" s="12" t="s">
        <v>563</v>
      </c>
      <c r="C989" s="13" t="s">
        <v>73</v>
      </c>
      <c r="D989" s="13" t="s">
        <v>66</v>
      </c>
      <c r="E989" s="13" t="s">
        <v>553</v>
      </c>
      <c r="F989" s="13" t="s">
        <v>143</v>
      </c>
      <c r="G989" s="14">
        <v>3</v>
      </c>
      <c r="H989" s="87">
        <v>3</v>
      </c>
      <c r="I989" s="14">
        <f t="shared" si="155"/>
        <v>0</v>
      </c>
      <c r="J989" s="77">
        <f t="shared" si="156"/>
        <v>100</v>
      </c>
    </row>
    <row r="990" spans="1:19" s="58" customFormat="1" ht="12.75">
      <c r="A990" s="46" t="s">
        <v>183</v>
      </c>
      <c r="B990" s="12" t="s">
        <v>563</v>
      </c>
      <c r="C990" s="13" t="s">
        <v>73</v>
      </c>
      <c r="D990" s="13" t="s">
        <v>66</v>
      </c>
      <c r="E990" s="13" t="s">
        <v>267</v>
      </c>
      <c r="F990" s="13"/>
      <c r="G990" s="14">
        <f aca="true" t="shared" si="157" ref="G990:H993">G991</f>
        <v>13844.3</v>
      </c>
      <c r="H990" s="87">
        <f t="shared" si="157"/>
        <v>13844.3</v>
      </c>
      <c r="I990" s="14">
        <f t="shared" si="155"/>
        <v>0</v>
      </c>
      <c r="J990" s="77">
        <f t="shared" si="156"/>
        <v>100</v>
      </c>
      <c r="K990" s="102"/>
      <c r="L990" s="197"/>
      <c r="M990" s="197"/>
      <c r="N990" s="197"/>
      <c r="O990" s="197"/>
      <c r="P990" s="197"/>
      <c r="Q990" s="197"/>
      <c r="R990" s="197"/>
      <c r="S990" s="197"/>
    </row>
    <row r="991" spans="1:19" s="58" customFormat="1" ht="25.5">
      <c r="A991" s="46" t="s">
        <v>289</v>
      </c>
      <c r="B991" s="12" t="s">
        <v>563</v>
      </c>
      <c r="C991" s="13" t="s">
        <v>73</v>
      </c>
      <c r="D991" s="13" t="s">
        <v>66</v>
      </c>
      <c r="E991" s="13" t="s">
        <v>525</v>
      </c>
      <c r="F991" s="13"/>
      <c r="G991" s="14">
        <f t="shared" si="157"/>
        <v>13844.3</v>
      </c>
      <c r="H991" s="87">
        <f t="shared" si="157"/>
        <v>13844.3</v>
      </c>
      <c r="I991" s="14">
        <f t="shared" si="155"/>
        <v>0</v>
      </c>
      <c r="J991" s="77">
        <f t="shared" si="156"/>
        <v>100</v>
      </c>
      <c r="K991" s="102"/>
      <c r="L991" s="197"/>
      <c r="M991" s="197"/>
      <c r="N991" s="197"/>
      <c r="O991" s="197"/>
      <c r="P991" s="197"/>
      <c r="Q991" s="197"/>
      <c r="R991" s="197"/>
      <c r="S991" s="197"/>
    </row>
    <row r="992" spans="1:19" s="58" customFormat="1" ht="12.75">
      <c r="A992" s="46" t="s">
        <v>288</v>
      </c>
      <c r="B992" s="12" t="s">
        <v>563</v>
      </c>
      <c r="C992" s="13" t="s">
        <v>73</v>
      </c>
      <c r="D992" s="13" t="s">
        <v>66</v>
      </c>
      <c r="E992" s="13" t="s">
        <v>526</v>
      </c>
      <c r="F992" s="13"/>
      <c r="G992" s="14">
        <f t="shared" si="157"/>
        <v>13844.3</v>
      </c>
      <c r="H992" s="87">
        <f t="shared" si="157"/>
        <v>13844.3</v>
      </c>
      <c r="I992" s="14">
        <f t="shared" si="155"/>
        <v>0</v>
      </c>
      <c r="J992" s="77">
        <f t="shared" si="156"/>
        <v>100</v>
      </c>
      <c r="K992" s="102"/>
      <c r="L992" s="197"/>
      <c r="M992" s="197"/>
      <c r="N992" s="197"/>
      <c r="O992" s="197"/>
      <c r="P992" s="197"/>
      <c r="Q992" s="197"/>
      <c r="R992" s="197"/>
      <c r="S992" s="197"/>
    </row>
    <row r="993" spans="1:10" ht="25.5">
      <c r="A993" s="46" t="s">
        <v>114</v>
      </c>
      <c r="B993" s="12" t="s">
        <v>563</v>
      </c>
      <c r="C993" s="13" t="s">
        <v>73</v>
      </c>
      <c r="D993" s="13" t="s">
        <v>66</v>
      </c>
      <c r="E993" s="13" t="s">
        <v>526</v>
      </c>
      <c r="F993" s="13" t="s">
        <v>115</v>
      </c>
      <c r="G993" s="14">
        <f t="shared" si="157"/>
        <v>13844.3</v>
      </c>
      <c r="H993" s="87">
        <f t="shared" si="157"/>
        <v>13844.3</v>
      </c>
      <c r="I993" s="14">
        <f t="shared" si="155"/>
        <v>0</v>
      </c>
      <c r="J993" s="77">
        <f t="shared" si="156"/>
        <v>100</v>
      </c>
    </row>
    <row r="994" spans="1:10" ht="12.75">
      <c r="A994" s="46" t="s">
        <v>120</v>
      </c>
      <c r="B994" s="12" t="s">
        <v>563</v>
      </c>
      <c r="C994" s="13" t="s">
        <v>73</v>
      </c>
      <c r="D994" s="13" t="s">
        <v>66</v>
      </c>
      <c r="E994" s="13" t="s">
        <v>526</v>
      </c>
      <c r="F994" s="13" t="s">
        <v>121</v>
      </c>
      <c r="G994" s="14">
        <f>G995+G996</f>
        <v>13844.3</v>
      </c>
      <c r="H994" s="87">
        <f>H995+H996</f>
        <v>13844.3</v>
      </c>
      <c r="I994" s="14">
        <f t="shared" si="155"/>
        <v>0</v>
      </c>
      <c r="J994" s="77">
        <f t="shared" si="156"/>
        <v>100</v>
      </c>
    </row>
    <row r="995" spans="1:10" ht="38.25">
      <c r="A995" s="46" t="s">
        <v>122</v>
      </c>
      <c r="B995" s="12" t="s">
        <v>563</v>
      </c>
      <c r="C995" s="13" t="s">
        <v>73</v>
      </c>
      <c r="D995" s="13" t="s">
        <v>66</v>
      </c>
      <c r="E995" s="13" t="s">
        <v>526</v>
      </c>
      <c r="F995" s="13" t="s">
        <v>123</v>
      </c>
      <c r="G995" s="14">
        <f>8210.5+3872.6+786.9+137.3+415.6+287.1</f>
        <v>13710</v>
      </c>
      <c r="H995" s="87">
        <v>13710</v>
      </c>
      <c r="I995" s="14">
        <f t="shared" si="155"/>
        <v>0</v>
      </c>
      <c r="J995" s="77">
        <f t="shared" si="156"/>
        <v>100</v>
      </c>
    </row>
    <row r="996" spans="1:10" ht="12.75">
      <c r="A996" s="46" t="s">
        <v>124</v>
      </c>
      <c r="B996" s="12" t="s">
        <v>563</v>
      </c>
      <c r="C996" s="13" t="s">
        <v>73</v>
      </c>
      <c r="D996" s="13" t="s">
        <v>66</v>
      </c>
      <c r="E996" s="13" t="s">
        <v>526</v>
      </c>
      <c r="F996" s="13" t="s">
        <v>125</v>
      </c>
      <c r="G996" s="14">
        <f>137-2.7</f>
        <v>134.3</v>
      </c>
      <c r="H996" s="87">
        <v>134.3</v>
      </c>
      <c r="I996" s="14">
        <f t="shared" si="155"/>
        <v>0</v>
      </c>
      <c r="J996" s="77">
        <f t="shared" si="156"/>
        <v>100</v>
      </c>
    </row>
    <row r="997" spans="1:10" ht="12.75">
      <c r="A997" s="60" t="s">
        <v>88</v>
      </c>
      <c r="B997" s="37" t="s">
        <v>563</v>
      </c>
      <c r="C997" s="29" t="s">
        <v>73</v>
      </c>
      <c r="D997" s="29" t="s">
        <v>68</v>
      </c>
      <c r="E997" s="29"/>
      <c r="F997" s="29"/>
      <c r="G997" s="30">
        <f>G998+G1004+G1024+G1038+G1055+G1018</f>
        <v>17226.100000000002</v>
      </c>
      <c r="H997" s="105">
        <f>H998+H1004+H1024+H1038+H1055+H1018</f>
        <v>17157.899999999998</v>
      </c>
      <c r="I997" s="30">
        <f t="shared" si="155"/>
        <v>68.20000000000437</v>
      </c>
      <c r="J997" s="82">
        <f t="shared" si="156"/>
        <v>99.60408914379921</v>
      </c>
    </row>
    <row r="998" spans="1:10" ht="30" customHeight="1">
      <c r="A998" s="46" t="s">
        <v>361</v>
      </c>
      <c r="B998" s="12" t="s">
        <v>563</v>
      </c>
      <c r="C998" s="13" t="s">
        <v>73</v>
      </c>
      <c r="D998" s="13" t="s">
        <v>68</v>
      </c>
      <c r="E998" s="45" t="s">
        <v>206</v>
      </c>
      <c r="F998" s="13"/>
      <c r="G998" s="14">
        <f aca="true" t="shared" si="158" ref="G998:H1002">G999</f>
        <v>15.9</v>
      </c>
      <c r="H998" s="87">
        <f t="shared" si="158"/>
        <v>15.9</v>
      </c>
      <c r="I998" s="14">
        <f t="shared" si="155"/>
        <v>0</v>
      </c>
      <c r="J998" s="77">
        <f t="shared" si="156"/>
        <v>100</v>
      </c>
    </row>
    <row r="999" spans="1:10" ht="25.5">
      <c r="A999" s="46" t="s">
        <v>290</v>
      </c>
      <c r="B999" s="12" t="s">
        <v>563</v>
      </c>
      <c r="C999" s="13" t="s">
        <v>73</v>
      </c>
      <c r="D999" s="13" t="s">
        <v>68</v>
      </c>
      <c r="E999" s="45" t="s">
        <v>453</v>
      </c>
      <c r="F999" s="13"/>
      <c r="G999" s="14">
        <f t="shared" si="158"/>
        <v>15.9</v>
      </c>
      <c r="H999" s="87">
        <f t="shared" si="158"/>
        <v>15.9</v>
      </c>
      <c r="I999" s="14">
        <f t="shared" si="155"/>
        <v>0</v>
      </c>
      <c r="J999" s="77">
        <f t="shared" si="156"/>
        <v>100</v>
      </c>
    </row>
    <row r="1000" spans="1:10" ht="12.75">
      <c r="A1000" s="46" t="s">
        <v>226</v>
      </c>
      <c r="B1000" s="12" t="s">
        <v>563</v>
      </c>
      <c r="C1000" s="13" t="s">
        <v>73</v>
      </c>
      <c r="D1000" s="13" t="s">
        <v>68</v>
      </c>
      <c r="E1000" s="45" t="s">
        <v>480</v>
      </c>
      <c r="F1000" s="13"/>
      <c r="G1000" s="14">
        <f t="shared" si="158"/>
        <v>15.9</v>
      </c>
      <c r="H1000" s="87">
        <f t="shared" si="158"/>
        <v>15.9</v>
      </c>
      <c r="I1000" s="14">
        <f t="shared" si="155"/>
        <v>0</v>
      </c>
      <c r="J1000" s="77">
        <f t="shared" si="156"/>
        <v>100</v>
      </c>
    </row>
    <row r="1001" spans="1:10" ht="25.5">
      <c r="A1001" s="46" t="s">
        <v>770</v>
      </c>
      <c r="B1001" s="12" t="s">
        <v>563</v>
      </c>
      <c r="C1001" s="13" t="s">
        <v>73</v>
      </c>
      <c r="D1001" s="13" t="s">
        <v>68</v>
      </c>
      <c r="E1001" s="45" t="s">
        <v>480</v>
      </c>
      <c r="F1001" s="13" t="s">
        <v>113</v>
      </c>
      <c r="G1001" s="14">
        <f t="shared" si="158"/>
        <v>15.9</v>
      </c>
      <c r="H1001" s="87">
        <f t="shared" si="158"/>
        <v>15.9</v>
      </c>
      <c r="I1001" s="14">
        <f t="shared" si="155"/>
        <v>0</v>
      </c>
      <c r="J1001" s="77">
        <f t="shared" si="156"/>
        <v>100</v>
      </c>
    </row>
    <row r="1002" spans="1:10" ht="25.5">
      <c r="A1002" s="46" t="s">
        <v>106</v>
      </c>
      <c r="B1002" s="12" t="s">
        <v>563</v>
      </c>
      <c r="C1002" s="13" t="s">
        <v>73</v>
      </c>
      <c r="D1002" s="13" t="s">
        <v>68</v>
      </c>
      <c r="E1002" s="45" t="s">
        <v>480</v>
      </c>
      <c r="F1002" s="13" t="s">
        <v>107</v>
      </c>
      <c r="G1002" s="14">
        <f t="shared" si="158"/>
        <v>15.9</v>
      </c>
      <c r="H1002" s="87">
        <f t="shared" si="158"/>
        <v>15.9</v>
      </c>
      <c r="I1002" s="14">
        <f t="shared" si="155"/>
        <v>0</v>
      </c>
      <c r="J1002" s="77">
        <f t="shared" si="156"/>
        <v>100</v>
      </c>
    </row>
    <row r="1003" spans="1:10" ht="25.5">
      <c r="A1003" s="46" t="s">
        <v>108</v>
      </c>
      <c r="B1003" s="12" t="s">
        <v>563</v>
      </c>
      <c r="C1003" s="13" t="s">
        <v>73</v>
      </c>
      <c r="D1003" s="13" t="s">
        <v>68</v>
      </c>
      <c r="E1003" s="45" t="s">
        <v>480</v>
      </c>
      <c r="F1003" s="13" t="s">
        <v>109</v>
      </c>
      <c r="G1003" s="14">
        <f>11.9+4</f>
        <v>15.9</v>
      </c>
      <c r="H1003" s="87">
        <v>15.9</v>
      </c>
      <c r="I1003" s="14">
        <f t="shared" si="155"/>
        <v>0</v>
      </c>
      <c r="J1003" s="77">
        <f t="shared" si="156"/>
        <v>100</v>
      </c>
    </row>
    <row r="1004" spans="1:10" ht="27" customHeight="1">
      <c r="A1004" s="46" t="s">
        <v>366</v>
      </c>
      <c r="B1004" s="12" t="s">
        <v>563</v>
      </c>
      <c r="C1004" s="13" t="s">
        <v>73</v>
      </c>
      <c r="D1004" s="13" t="s">
        <v>68</v>
      </c>
      <c r="E1004" s="45" t="s">
        <v>234</v>
      </c>
      <c r="F1004" s="13"/>
      <c r="G1004" s="14">
        <f>G1005</f>
        <v>336.1</v>
      </c>
      <c r="H1004" s="87">
        <f>H1005</f>
        <v>336.1</v>
      </c>
      <c r="I1004" s="14">
        <f t="shared" si="155"/>
        <v>0</v>
      </c>
      <c r="J1004" s="77">
        <f t="shared" si="156"/>
        <v>100</v>
      </c>
    </row>
    <row r="1005" spans="1:10" ht="12.75">
      <c r="A1005" s="46" t="s">
        <v>300</v>
      </c>
      <c r="B1005" s="12" t="s">
        <v>563</v>
      </c>
      <c r="C1005" s="13" t="s">
        <v>73</v>
      </c>
      <c r="D1005" s="13" t="s">
        <v>68</v>
      </c>
      <c r="E1005" s="45" t="s">
        <v>490</v>
      </c>
      <c r="F1005" s="13"/>
      <c r="G1005" s="14">
        <f>G1006+G1010</f>
        <v>336.1</v>
      </c>
      <c r="H1005" s="87">
        <f>H1006+H1010</f>
        <v>336.1</v>
      </c>
      <c r="I1005" s="14">
        <f t="shared" si="155"/>
        <v>0</v>
      </c>
      <c r="J1005" s="77">
        <f t="shared" si="156"/>
        <v>100</v>
      </c>
    </row>
    <row r="1006" spans="1:10" ht="12.75">
      <c r="A1006" s="46" t="s">
        <v>233</v>
      </c>
      <c r="B1006" s="12" t="s">
        <v>563</v>
      </c>
      <c r="C1006" s="13" t="s">
        <v>73</v>
      </c>
      <c r="D1006" s="13" t="s">
        <v>68</v>
      </c>
      <c r="E1006" s="45" t="s">
        <v>491</v>
      </c>
      <c r="F1006" s="13"/>
      <c r="G1006" s="14">
        <f aca="true" t="shared" si="159" ref="G1006:H1008">G1007</f>
        <v>99.7</v>
      </c>
      <c r="H1006" s="87">
        <f t="shared" si="159"/>
        <v>99.7</v>
      </c>
      <c r="I1006" s="14">
        <f t="shared" si="155"/>
        <v>0</v>
      </c>
      <c r="J1006" s="77">
        <f t="shared" si="156"/>
        <v>100</v>
      </c>
    </row>
    <row r="1007" spans="1:10" ht="25.5">
      <c r="A1007" s="46" t="s">
        <v>770</v>
      </c>
      <c r="B1007" s="12" t="s">
        <v>563</v>
      </c>
      <c r="C1007" s="13" t="s">
        <v>73</v>
      </c>
      <c r="D1007" s="13" t="s">
        <v>68</v>
      </c>
      <c r="E1007" s="45" t="s">
        <v>491</v>
      </c>
      <c r="F1007" s="13" t="s">
        <v>113</v>
      </c>
      <c r="G1007" s="14">
        <f t="shared" si="159"/>
        <v>99.7</v>
      </c>
      <c r="H1007" s="87">
        <f t="shared" si="159"/>
        <v>99.7</v>
      </c>
      <c r="I1007" s="14">
        <f t="shared" si="155"/>
        <v>0</v>
      </c>
      <c r="J1007" s="77">
        <f t="shared" si="156"/>
        <v>100</v>
      </c>
    </row>
    <row r="1008" spans="1:10" ht="25.5">
      <c r="A1008" s="46" t="s">
        <v>106</v>
      </c>
      <c r="B1008" s="12" t="s">
        <v>563</v>
      </c>
      <c r="C1008" s="13" t="s">
        <v>73</v>
      </c>
      <c r="D1008" s="13" t="s">
        <v>68</v>
      </c>
      <c r="E1008" s="45" t="s">
        <v>491</v>
      </c>
      <c r="F1008" s="13" t="s">
        <v>107</v>
      </c>
      <c r="G1008" s="14">
        <f t="shared" si="159"/>
        <v>99.7</v>
      </c>
      <c r="H1008" s="87">
        <f t="shared" si="159"/>
        <v>99.7</v>
      </c>
      <c r="I1008" s="14">
        <f t="shared" si="155"/>
        <v>0</v>
      </c>
      <c r="J1008" s="77">
        <f t="shared" si="156"/>
        <v>100</v>
      </c>
    </row>
    <row r="1009" spans="1:10" ht="25.5">
      <c r="A1009" s="46" t="s">
        <v>108</v>
      </c>
      <c r="B1009" s="12" t="s">
        <v>563</v>
      </c>
      <c r="C1009" s="13" t="s">
        <v>73</v>
      </c>
      <c r="D1009" s="13" t="s">
        <v>68</v>
      </c>
      <c r="E1009" s="45" t="s">
        <v>491</v>
      </c>
      <c r="F1009" s="13" t="s">
        <v>109</v>
      </c>
      <c r="G1009" s="14">
        <f>100-50+49.7</f>
        <v>99.7</v>
      </c>
      <c r="H1009" s="87">
        <v>99.7</v>
      </c>
      <c r="I1009" s="14">
        <f t="shared" si="155"/>
        <v>0</v>
      </c>
      <c r="J1009" s="77">
        <f t="shared" si="156"/>
        <v>100</v>
      </c>
    </row>
    <row r="1010" spans="1:10" ht="25.5" customHeight="1">
      <c r="A1010" s="46" t="s">
        <v>235</v>
      </c>
      <c r="B1010" s="12" t="s">
        <v>563</v>
      </c>
      <c r="C1010" s="13" t="s">
        <v>73</v>
      </c>
      <c r="D1010" s="13" t="s">
        <v>68</v>
      </c>
      <c r="E1010" s="45" t="s">
        <v>492</v>
      </c>
      <c r="F1010" s="29"/>
      <c r="G1010" s="14">
        <f>G1011+G1015</f>
        <v>236.4</v>
      </c>
      <c r="H1010" s="87">
        <f>H1011+H1015</f>
        <v>236.4</v>
      </c>
      <c r="I1010" s="14">
        <f t="shared" si="155"/>
        <v>0</v>
      </c>
      <c r="J1010" s="77">
        <f t="shared" si="156"/>
        <v>100</v>
      </c>
    </row>
    <row r="1011" spans="1:10" ht="38.25">
      <c r="A1011" s="46" t="s">
        <v>110</v>
      </c>
      <c r="B1011" s="12" t="s">
        <v>563</v>
      </c>
      <c r="C1011" s="13" t="s">
        <v>73</v>
      </c>
      <c r="D1011" s="13" t="s">
        <v>68</v>
      </c>
      <c r="E1011" s="45" t="s">
        <v>492</v>
      </c>
      <c r="F1011" s="13" t="s">
        <v>111</v>
      </c>
      <c r="G1011" s="14">
        <f>G1012</f>
        <v>82.5</v>
      </c>
      <c r="H1011" s="87">
        <f>H1012</f>
        <v>82.5</v>
      </c>
      <c r="I1011" s="14">
        <f t="shared" si="155"/>
        <v>0</v>
      </c>
      <c r="J1011" s="77">
        <f t="shared" si="156"/>
        <v>100</v>
      </c>
    </row>
    <row r="1012" spans="1:10" ht="12.75">
      <c r="A1012" s="69" t="s">
        <v>406</v>
      </c>
      <c r="B1012" s="12" t="s">
        <v>563</v>
      </c>
      <c r="C1012" s="13" t="s">
        <v>73</v>
      </c>
      <c r="D1012" s="13" t="s">
        <v>68</v>
      </c>
      <c r="E1012" s="45" t="s">
        <v>492</v>
      </c>
      <c r="F1012" s="13" t="s">
        <v>408</v>
      </c>
      <c r="G1012" s="14">
        <f>G1013+G1014</f>
        <v>82.5</v>
      </c>
      <c r="H1012" s="87">
        <f>H1013+H1014</f>
        <v>82.5</v>
      </c>
      <c r="I1012" s="14">
        <f t="shared" si="155"/>
        <v>0</v>
      </c>
      <c r="J1012" s="77">
        <f t="shared" si="156"/>
        <v>100</v>
      </c>
    </row>
    <row r="1013" spans="1:10" ht="12.75">
      <c r="A1013" s="46" t="s">
        <v>574</v>
      </c>
      <c r="B1013" s="12" t="s">
        <v>563</v>
      </c>
      <c r="C1013" s="13" t="s">
        <v>73</v>
      </c>
      <c r="D1013" s="13" t="s">
        <v>68</v>
      </c>
      <c r="E1013" s="45" t="s">
        <v>492</v>
      </c>
      <c r="F1013" s="13" t="s">
        <v>407</v>
      </c>
      <c r="G1013" s="14">
        <f>70-10-55.6</f>
        <v>4.399999999999999</v>
      </c>
      <c r="H1013" s="87">
        <v>4.4</v>
      </c>
      <c r="I1013" s="14">
        <f t="shared" si="155"/>
        <v>0</v>
      </c>
      <c r="J1013" s="77">
        <f t="shared" si="156"/>
        <v>100.00000000000004</v>
      </c>
    </row>
    <row r="1014" spans="1:10" ht="25.5">
      <c r="A1014" s="9" t="s">
        <v>753</v>
      </c>
      <c r="B1014" s="12" t="s">
        <v>563</v>
      </c>
      <c r="C1014" s="13" t="s">
        <v>73</v>
      </c>
      <c r="D1014" s="13" t="s">
        <v>68</v>
      </c>
      <c r="E1014" s="45" t="s">
        <v>492</v>
      </c>
      <c r="F1014" s="13" t="s">
        <v>754</v>
      </c>
      <c r="G1014" s="14">
        <f>38.5+39.6</f>
        <v>78.1</v>
      </c>
      <c r="H1014" s="87">
        <v>78.1</v>
      </c>
      <c r="I1014" s="14">
        <f t="shared" si="155"/>
        <v>0</v>
      </c>
      <c r="J1014" s="77">
        <f t="shared" si="156"/>
        <v>100</v>
      </c>
    </row>
    <row r="1015" spans="1:10" ht="25.5">
      <c r="A1015" s="46" t="s">
        <v>770</v>
      </c>
      <c r="B1015" s="12" t="s">
        <v>563</v>
      </c>
      <c r="C1015" s="13" t="s">
        <v>73</v>
      </c>
      <c r="D1015" s="13" t="s">
        <v>68</v>
      </c>
      <c r="E1015" s="45" t="s">
        <v>492</v>
      </c>
      <c r="F1015" s="13" t="s">
        <v>113</v>
      </c>
      <c r="G1015" s="14">
        <f>G1016</f>
        <v>153.9</v>
      </c>
      <c r="H1015" s="87">
        <f>H1016</f>
        <v>153.9</v>
      </c>
      <c r="I1015" s="14">
        <f t="shared" si="155"/>
        <v>0</v>
      </c>
      <c r="J1015" s="77">
        <f t="shared" si="156"/>
        <v>100</v>
      </c>
    </row>
    <row r="1016" spans="1:10" ht="25.5">
      <c r="A1016" s="46" t="s">
        <v>106</v>
      </c>
      <c r="B1016" s="12" t="s">
        <v>563</v>
      </c>
      <c r="C1016" s="13" t="s">
        <v>73</v>
      </c>
      <c r="D1016" s="13" t="s">
        <v>68</v>
      </c>
      <c r="E1016" s="45" t="s">
        <v>492</v>
      </c>
      <c r="F1016" s="13" t="s">
        <v>107</v>
      </c>
      <c r="G1016" s="14">
        <f>G1017</f>
        <v>153.9</v>
      </c>
      <c r="H1016" s="87">
        <f>H1017</f>
        <v>153.9</v>
      </c>
      <c r="I1016" s="14">
        <f t="shared" si="155"/>
        <v>0</v>
      </c>
      <c r="J1016" s="77">
        <f t="shared" si="156"/>
        <v>100</v>
      </c>
    </row>
    <row r="1017" spans="1:10" ht="25.5">
      <c r="A1017" s="46" t="s">
        <v>108</v>
      </c>
      <c r="B1017" s="12" t="s">
        <v>563</v>
      </c>
      <c r="C1017" s="13" t="s">
        <v>73</v>
      </c>
      <c r="D1017" s="13" t="s">
        <v>68</v>
      </c>
      <c r="E1017" s="45" t="s">
        <v>492</v>
      </c>
      <c r="F1017" s="13" t="s">
        <v>109</v>
      </c>
      <c r="G1017" s="14">
        <f>56+74+46.4+17.1-39.6</f>
        <v>153.9</v>
      </c>
      <c r="H1017" s="87">
        <v>153.9</v>
      </c>
      <c r="I1017" s="14">
        <f t="shared" si="155"/>
        <v>0</v>
      </c>
      <c r="J1017" s="77">
        <f t="shared" si="156"/>
        <v>100</v>
      </c>
    </row>
    <row r="1018" spans="1:10" ht="25.5">
      <c r="A1018" s="25" t="s">
        <v>355</v>
      </c>
      <c r="B1018" s="12" t="s">
        <v>563</v>
      </c>
      <c r="C1018" s="13" t="s">
        <v>73</v>
      </c>
      <c r="D1018" s="13" t="s">
        <v>68</v>
      </c>
      <c r="E1018" s="45" t="s">
        <v>222</v>
      </c>
      <c r="F1018" s="13"/>
      <c r="G1018" s="14">
        <f aca="true" t="shared" si="160" ref="G1018:H1022">G1019</f>
        <v>7.7</v>
      </c>
      <c r="H1018" s="87">
        <f t="shared" si="160"/>
        <v>7.7</v>
      </c>
      <c r="I1018" s="14">
        <f t="shared" si="155"/>
        <v>0</v>
      </c>
      <c r="J1018" s="77">
        <f t="shared" si="156"/>
        <v>100</v>
      </c>
    </row>
    <row r="1019" spans="1:10" ht="25.5">
      <c r="A1019" s="25" t="s">
        <v>299</v>
      </c>
      <c r="B1019" s="12" t="s">
        <v>563</v>
      </c>
      <c r="C1019" s="13" t="s">
        <v>73</v>
      </c>
      <c r="D1019" s="13" t="s">
        <v>68</v>
      </c>
      <c r="E1019" s="45" t="s">
        <v>488</v>
      </c>
      <c r="F1019" s="13"/>
      <c r="G1019" s="14">
        <f t="shared" si="160"/>
        <v>7.7</v>
      </c>
      <c r="H1019" s="87">
        <f t="shared" si="160"/>
        <v>7.7</v>
      </c>
      <c r="I1019" s="14">
        <f t="shared" si="155"/>
        <v>0</v>
      </c>
      <c r="J1019" s="77">
        <f t="shared" si="156"/>
        <v>100</v>
      </c>
    </row>
    <row r="1020" spans="1:10" ht="12.75">
      <c r="A1020" s="25" t="s">
        <v>232</v>
      </c>
      <c r="B1020" s="12" t="s">
        <v>563</v>
      </c>
      <c r="C1020" s="13" t="s">
        <v>73</v>
      </c>
      <c r="D1020" s="13" t="s">
        <v>68</v>
      </c>
      <c r="E1020" s="45" t="s">
        <v>489</v>
      </c>
      <c r="F1020" s="13"/>
      <c r="G1020" s="14">
        <f t="shared" si="160"/>
        <v>7.7</v>
      </c>
      <c r="H1020" s="87">
        <f t="shared" si="160"/>
        <v>7.7</v>
      </c>
      <c r="I1020" s="14">
        <f t="shared" si="155"/>
        <v>0</v>
      </c>
      <c r="J1020" s="77">
        <f t="shared" si="156"/>
        <v>100</v>
      </c>
    </row>
    <row r="1021" spans="1:10" ht="25.5">
      <c r="A1021" s="46" t="s">
        <v>770</v>
      </c>
      <c r="B1021" s="12" t="s">
        <v>563</v>
      </c>
      <c r="C1021" s="13" t="s">
        <v>73</v>
      </c>
      <c r="D1021" s="13" t="s">
        <v>68</v>
      </c>
      <c r="E1021" s="45" t="s">
        <v>489</v>
      </c>
      <c r="F1021" s="13" t="s">
        <v>113</v>
      </c>
      <c r="G1021" s="14">
        <f t="shared" si="160"/>
        <v>7.7</v>
      </c>
      <c r="H1021" s="87">
        <f t="shared" si="160"/>
        <v>7.7</v>
      </c>
      <c r="I1021" s="14">
        <f t="shared" si="155"/>
        <v>0</v>
      </c>
      <c r="J1021" s="77">
        <f t="shared" si="156"/>
        <v>100</v>
      </c>
    </row>
    <row r="1022" spans="1:10" ht="25.5">
      <c r="A1022" s="9" t="s">
        <v>106</v>
      </c>
      <c r="B1022" s="12" t="s">
        <v>563</v>
      </c>
      <c r="C1022" s="13" t="s">
        <v>73</v>
      </c>
      <c r="D1022" s="13" t="s">
        <v>68</v>
      </c>
      <c r="E1022" s="45" t="s">
        <v>489</v>
      </c>
      <c r="F1022" s="13" t="s">
        <v>107</v>
      </c>
      <c r="G1022" s="14">
        <f t="shared" si="160"/>
        <v>7.7</v>
      </c>
      <c r="H1022" s="87">
        <f t="shared" si="160"/>
        <v>7.7</v>
      </c>
      <c r="I1022" s="14">
        <f t="shared" si="155"/>
        <v>0</v>
      </c>
      <c r="J1022" s="77">
        <f t="shared" si="156"/>
        <v>100</v>
      </c>
    </row>
    <row r="1023" spans="1:10" ht="25.5">
      <c r="A1023" s="9" t="s">
        <v>108</v>
      </c>
      <c r="B1023" s="12" t="s">
        <v>563</v>
      </c>
      <c r="C1023" s="13" t="s">
        <v>73</v>
      </c>
      <c r="D1023" s="13" t="s">
        <v>68</v>
      </c>
      <c r="E1023" s="45" t="s">
        <v>489</v>
      </c>
      <c r="F1023" s="13" t="s">
        <v>109</v>
      </c>
      <c r="G1023" s="14">
        <v>7.7</v>
      </c>
      <c r="H1023" s="87">
        <v>7.7</v>
      </c>
      <c r="I1023" s="14">
        <f t="shared" si="155"/>
        <v>0</v>
      </c>
      <c r="J1023" s="77">
        <f t="shared" si="156"/>
        <v>100</v>
      </c>
    </row>
    <row r="1024" spans="1:10" ht="12.75">
      <c r="A1024" s="46" t="s">
        <v>503</v>
      </c>
      <c r="B1024" s="12" t="s">
        <v>563</v>
      </c>
      <c r="C1024" s="13" t="s">
        <v>73</v>
      </c>
      <c r="D1024" s="13" t="s">
        <v>68</v>
      </c>
      <c r="E1024" s="13" t="s">
        <v>252</v>
      </c>
      <c r="F1024" s="13"/>
      <c r="G1024" s="14">
        <f>G1025</f>
        <v>222.5</v>
      </c>
      <c r="H1024" s="87">
        <f>H1025</f>
        <v>222.10000000000002</v>
      </c>
      <c r="I1024" s="14">
        <f t="shared" si="155"/>
        <v>0.39999999999997726</v>
      </c>
      <c r="J1024" s="77">
        <f t="shared" si="156"/>
        <v>99.82022471910113</v>
      </c>
    </row>
    <row r="1025" spans="1:10" ht="12.75">
      <c r="A1025" s="46" t="s">
        <v>504</v>
      </c>
      <c r="B1025" s="12" t="s">
        <v>563</v>
      </c>
      <c r="C1025" s="13" t="s">
        <v>73</v>
      </c>
      <c r="D1025" s="13" t="s">
        <v>68</v>
      </c>
      <c r="E1025" s="13" t="s">
        <v>501</v>
      </c>
      <c r="F1025" s="13"/>
      <c r="G1025" s="14">
        <f>G1026+G1032</f>
        <v>222.5</v>
      </c>
      <c r="H1025" s="87">
        <f>H1026+H1032</f>
        <v>222.10000000000002</v>
      </c>
      <c r="I1025" s="14">
        <f t="shared" si="155"/>
        <v>0.39999999999997726</v>
      </c>
      <c r="J1025" s="77">
        <f t="shared" si="156"/>
        <v>99.82022471910113</v>
      </c>
    </row>
    <row r="1026" spans="1:10" ht="44.25" customHeight="1">
      <c r="A1026" s="46" t="s">
        <v>381</v>
      </c>
      <c r="B1026" s="12" t="s">
        <v>563</v>
      </c>
      <c r="C1026" s="13" t="s">
        <v>73</v>
      </c>
      <c r="D1026" s="13" t="s">
        <v>68</v>
      </c>
      <c r="E1026" s="13" t="s">
        <v>502</v>
      </c>
      <c r="F1026" s="13"/>
      <c r="G1026" s="14">
        <f>G1027</f>
        <v>207.3</v>
      </c>
      <c r="H1026" s="87">
        <f>H1027</f>
        <v>207.3</v>
      </c>
      <c r="I1026" s="14">
        <f t="shared" si="155"/>
        <v>0</v>
      </c>
      <c r="J1026" s="77">
        <f t="shared" si="156"/>
        <v>100</v>
      </c>
    </row>
    <row r="1027" spans="1:10" ht="38.25">
      <c r="A1027" s="46" t="s">
        <v>110</v>
      </c>
      <c r="B1027" s="12" t="s">
        <v>563</v>
      </c>
      <c r="C1027" s="13" t="s">
        <v>73</v>
      </c>
      <c r="D1027" s="13" t="s">
        <v>68</v>
      </c>
      <c r="E1027" s="13" t="s">
        <v>502</v>
      </c>
      <c r="F1027" s="13" t="s">
        <v>111</v>
      </c>
      <c r="G1027" s="14">
        <f>G1028+G1030</f>
        <v>207.3</v>
      </c>
      <c r="H1027" s="87">
        <f>H1028+H1030</f>
        <v>207.3</v>
      </c>
      <c r="I1027" s="14">
        <f t="shared" si="155"/>
        <v>0</v>
      </c>
      <c r="J1027" s="77">
        <f t="shared" si="156"/>
        <v>100</v>
      </c>
    </row>
    <row r="1028" spans="1:10" ht="12.75">
      <c r="A1028" s="69" t="s">
        <v>406</v>
      </c>
      <c r="B1028" s="12" t="s">
        <v>563</v>
      </c>
      <c r="C1028" s="13" t="s">
        <v>73</v>
      </c>
      <c r="D1028" s="13" t="s">
        <v>68</v>
      </c>
      <c r="E1028" s="13" t="s">
        <v>502</v>
      </c>
      <c r="F1028" s="13" t="s">
        <v>408</v>
      </c>
      <c r="G1028" s="14">
        <f>G1029</f>
        <v>182.5</v>
      </c>
      <c r="H1028" s="87">
        <f>H1029</f>
        <v>182.5</v>
      </c>
      <c r="I1028" s="14">
        <f t="shared" si="155"/>
        <v>0</v>
      </c>
      <c r="J1028" s="77">
        <f t="shared" si="156"/>
        <v>100</v>
      </c>
    </row>
    <row r="1029" spans="1:10" ht="12.75">
      <c r="A1029" s="46" t="s">
        <v>574</v>
      </c>
      <c r="B1029" s="12" t="s">
        <v>563</v>
      </c>
      <c r="C1029" s="13" t="s">
        <v>73</v>
      </c>
      <c r="D1029" s="13" t="s">
        <v>68</v>
      </c>
      <c r="E1029" s="13" t="s">
        <v>502</v>
      </c>
      <c r="F1029" s="13" t="s">
        <v>407</v>
      </c>
      <c r="G1029" s="14">
        <f>280+160-12-159.3-86.2</f>
        <v>182.5</v>
      </c>
      <c r="H1029" s="87">
        <v>182.5</v>
      </c>
      <c r="I1029" s="14">
        <f t="shared" si="155"/>
        <v>0</v>
      </c>
      <c r="J1029" s="77">
        <f t="shared" si="156"/>
        <v>100</v>
      </c>
    </row>
    <row r="1030" spans="1:10" ht="12.75">
      <c r="A1030" s="46" t="s">
        <v>101</v>
      </c>
      <c r="B1030" s="12" t="s">
        <v>563</v>
      </c>
      <c r="C1030" s="13" t="s">
        <v>73</v>
      </c>
      <c r="D1030" s="13" t="s">
        <v>68</v>
      </c>
      <c r="E1030" s="13" t="s">
        <v>502</v>
      </c>
      <c r="F1030" s="13" t="s">
        <v>102</v>
      </c>
      <c r="G1030" s="14">
        <f>G1031</f>
        <v>24.80000000000001</v>
      </c>
      <c r="H1030" s="87">
        <f>H1031</f>
        <v>24.8</v>
      </c>
      <c r="I1030" s="14">
        <f t="shared" si="155"/>
        <v>0</v>
      </c>
      <c r="J1030" s="77">
        <f t="shared" si="156"/>
        <v>99.99999999999996</v>
      </c>
    </row>
    <row r="1031" spans="1:10" ht="25.5">
      <c r="A1031" s="46" t="s">
        <v>104</v>
      </c>
      <c r="B1031" s="12" t="s">
        <v>563</v>
      </c>
      <c r="C1031" s="13" t="s">
        <v>73</v>
      </c>
      <c r="D1031" s="13" t="s">
        <v>68</v>
      </c>
      <c r="E1031" s="13" t="s">
        <v>502</v>
      </c>
      <c r="F1031" s="13" t="s">
        <v>105</v>
      </c>
      <c r="G1031" s="14">
        <f>365-340.2</f>
        <v>24.80000000000001</v>
      </c>
      <c r="H1031" s="87">
        <v>24.8</v>
      </c>
      <c r="I1031" s="14">
        <f t="shared" si="155"/>
        <v>0</v>
      </c>
      <c r="J1031" s="77">
        <f t="shared" si="156"/>
        <v>99.99999999999996</v>
      </c>
    </row>
    <row r="1032" spans="1:10" ht="12.75">
      <c r="A1032" s="46" t="s">
        <v>272</v>
      </c>
      <c r="B1032" s="12" t="s">
        <v>563</v>
      </c>
      <c r="C1032" s="13" t="s">
        <v>73</v>
      </c>
      <c r="D1032" s="13" t="s">
        <v>68</v>
      </c>
      <c r="E1032" s="13" t="s">
        <v>505</v>
      </c>
      <c r="F1032" s="13"/>
      <c r="G1032" s="14">
        <f>G1033</f>
        <v>15.200000000000001</v>
      </c>
      <c r="H1032" s="87">
        <f>H1033</f>
        <v>14.8</v>
      </c>
      <c r="I1032" s="14">
        <f t="shared" si="155"/>
        <v>0.40000000000000036</v>
      </c>
      <c r="J1032" s="77">
        <f t="shared" si="156"/>
        <v>97.36842105263158</v>
      </c>
    </row>
    <row r="1033" spans="1:10" ht="38.25">
      <c r="A1033" s="46" t="s">
        <v>110</v>
      </c>
      <c r="B1033" s="12" t="s">
        <v>563</v>
      </c>
      <c r="C1033" s="13" t="s">
        <v>73</v>
      </c>
      <c r="D1033" s="13" t="s">
        <v>68</v>
      </c>
      <c r="E1033" s="13" t="s">
        <v>505</v>
      </c>
      <c r="F1033" s="13" t="s">
        <v>111</v>
      </c>
      <c r="G1033" s="14">
        <f>G1036+G1034</f>
        <v>15.200000000000001</v>
      </c>
      <c r="H1033" s="87">
        <f>H1036+H1034</f>
        <v>14.8</v>
      </c>
      <c r="I1033" s="14">
        <f t="shared" si="155"/>
        <v>0.40000000000000036</v>
      </c>
      <c r="J1033" s="77">
        <f t="shared" si="156"/>
        <v>97.36842105263158</v>
      </c>
    </row>
    <row r="1034" spans="1:10" ht="12.75">
      <c r="A1034" s="69" t="s">
        <v>406</v>
      </c>
      <c r="B1034" s="12" t="s">
        <v>563</v>
      </c>
      <c r="C1034" s="13" t="s">
        <v>73</v>
      </c>
      <c r="D1034" s="13" t="s">
        <v>68</v>
      </c>
      <c r="E1034" s="13" t="s">
        <v>505</v>
      </c>
      <c r="F1034" s="13" t="s">
        <v>408</v>
      </c>
      <c r="G1034" s="14">
        <f>G1035</f>
        <v>14.100000000000001</v>
      </c>
      <c r="H1034" s="87">
        <f>H1035</f>
        <v>13.9</v>
      </c>
      <c r="I1034" s="14">
        <f aca="true" t="shared" si="161" ref="I1034:I1097">G1034-H1034</f>
        <v>0.20000000000000107</v>
      </c>
      <c r="J1034" s="77">
        <f aca="true" t="shared" si="162" ref="J1034:J1097">H1034/G1034*100</f>
        <v>98.58156028368793</v>
      </c>
    </row>
    <row r="1035" spans="1:10" ht="12.75">
      <c r="A1035" s="46" t="s">
        <v>574</v>
      </c>
      <c r="B1035" s="12" t="s">
        <v>563</v>
      </c>
      <c r="C1035" s="13" t="s">
        <v>73</v>
      </c>
      <c r="D1035" s="13" t="s">
        <v>68</v>
      </c>
      <c r="E1035" s="13" t="s">
        <v>505</v>
      </c>
      <c r="F1035" s="13" t="s">
        <v>407</v>
      </c>
      <c r="G1035" s="14">
        <f>6.1+12+2-6</f>
        <v>14.100000000000001</v>
      </c>
      <c r="H1035" s="87">
        <v>13.9</v>
      </c>
      <c r="I1035" s="14">
        <f t="shared" si="161"/>
        <v>0.20000000000000107</v>
      </c>
      <c r="J1035" s="77">
        <f t="shared" si="162"/>
        <v>98.58156028368793</v>
      </c>
    </row>
    <row r="1036" spans="1:10" ht="12.75">
      <c r="A1036" s="46" t="s">
        <v>101</v>
      </c>
      <c r="B1036" s="12" t="s">
        <v>563</v>
      </c>
      <c r="C1036" s="13" t="s">
        <v>73</v>
      </c>
      <c r="D1036" s="13" t="s">
        <v>68</v>
      </c>
      <c r="E1036" s="13" t="s">
        <v>505</v>
      </c>
      <c r="F1036" s="13" t="s">
        <v>102</v>
      </c>
      <c r="G1036" s="14">
        <f>G1037</f>
        <v>1.1</v>
      </c>
      <c r="H1036" s="87">
        <f>H1037</f>
        <v>0.9</v>
      </c>
      <c r="I1036" s="14">
        <f t="shared" si="161"/>
        <v>0.20000000000000007</v>
      </c>
      <c r="J1036" s="77">
        <f t="shared" si="162"/>
        <v>81.81818181818181</v>
      </c>
    </row>
    <row r="1037" spans="1:10" ht="25.5">
      <c r="A1037" s="46" t="s">
        <v>104</v>
      </c>
      <c r="B1037" s="12" t="s">
        <v>563</v>
      </c>
      <c r="C1037" s="13" t="s">
        <v>73</v>
      </c>
      <c r="D1037" s="13" t="s">
        <v>68</v>
      </c>
      <c r="E1037" s="13" t="s">
        <v>505</v>
      </c>
      <c r="F1037" s="13" t="s">
        <v>105</v>
      </c>
      <c r="G1037" s="14">
        <f>1.1</f>
        <v>1.1</v>
      </c>
      <c r="H1037" s="87">
        <v>0.9</v>
      </c>
      <c r="I1037" s="14">
        <f t="shared" si="161"/>
        <v>0.20000000000000007</v>
      </c>
      <c r="J1037" s="77">
        <f t="shared" si="162"/>
        <v>81.81818181818181</v>
      </c>
    </row>
    <row r="1038" spans="1:10" ht="28.5" customHeight="1">
      <c r="A1038" s="46" t="s">
        <v>557</v>
      </c>
      <c r="B1038" s="12" t="s">
        <v>563</v>
      </c>
      <c r="C1038" s="13" t="s">
        <v>73</v>
      </c>
      <c r="D1038" s="13" t="s">
        <v>68</v>
      </c>
      <c r="E1038" s="13" t="s">
        <v>251</v>
      </c>
      <c r="F1038" s="13"/>
      <c r="G1038" s="14">
        <f>G1039</f>
        <v>6329.9</v>
      </c>
      <c r="H1038" s="87">
        <f>H1039</f>
        <v>6326.700000000001</v>
      </c>
      <c r="I1038" s="14">
        <f t="shared" si="161"/>
        <v>3.1999999999989086</v>
      </c>
      <c r="J1038" s="77">
        <f t="shared" si="162"/>
        <v>99.94944627877219</v>
      </c>
    </row>
    <row r="1039" spans="1:10" ht="12.75">
      <c r="A1039" s="46" t="s">
        <v>50</v>
      </c>
      <c r="B1039" s="12" t="s">
        <v>563</v>
      </c>
      <c r="C1039" s="13" t="s">
        <v>73</v>
      </c>
      <c r="D1039" s="13" t="s">
        <v>68</v>
      </c>
      <c r="E1039" s="13" t="s">
        <v>277</v>
      </c>
      <c r="F1039" s="13"/>
      <c r="G1039" s="14">
        <f>G1040+G1046</f>
        <v>6329.9</v>
      </c>
      <c r="H1039" s="87">
        <f>H1040+H1046</f>
        <v>6326.700000000001</v>
      </c>
      <c r="I1039" s="14">
        <f t="shared" si="161"/>
        <v>3.1999999999989086</v>
      </c>
      <c r="J1039" s="77">
        <f t="shared" si="162"/>
        <v>99.94944627877219</v>
      </c>
    </row>
    <row r="1040" spans="1:10" ht="12.75">
      <c r="A1040" s="46" t="s">
        <v>273</v>
      </c>
      <c r="B1040" s="12" t="s">
        <v>563</v>
      </c>
      <c r="C1040" s="13" t="s">
        <v>73</v>
      </c>
      <c r="D1040" s="13" t="s">
        <v>68</v>
      </c>
      <c r="E1040" s="13" t="s">
        <v>278</v>
      </c>
      <c r="F1040" s="13"/>
      <c r="G1040" s="14">
        <f>G1041</f>
        <v>5788.5</v>
      </c>
      <c r="H1040" s="87">
        <f>H1041</f>
        <v>5787.200000000001</v>
      </c>
      <c r="I1040" s="14">
        <f t="shared" si="161"/>
        <v>1.2999999999992724</v>
      </c>
      <c r="J1040" s="77">
        <f t="shared" si="162"/>
        <v>99.97754167746396</v>
      </c>
    </row>
    <row r="1041" spans="1:10" ht="38.25">
      <c r="A1041" s="46" t="s">
        <v>110</v>
      </c>
      <c r="B1041" s="12" t="s">
        <v>563</v>
      </c>
      <c r="C1041" s="13" t="s">
        <v>73</v>
      </c>
      <c r="D1041" s="13" t="s">
        <v>68</v>
      </c>
      <c r="E1041" s="13" t="s">
        <v>278</v>
      </c>
      <c r="F1041" s="13" t="s">
        <v>111</v>
      </c>
      <c r="G1041" s="14">
        <f>G1042</f>
        <v>5788.5</v>
      </c>
      <c r="H1041" s="87">
        <f>H1042</f>
        <v>5787.200000000001</v>
      </c>
      <c r="I1041" s="14">
        <f t="shared" si="161"/>
        <v>1.2999999999992724</v>
      </c>
      <c r="J1041" s="77">
        <f t="shared" si="162"/>
        <v>99.97754167746396</v>
      </c>
    </row>
    <row r="1042" spans="1:10" ht="12.75">
      <c r="A1042" s="46" t="s">
        <v>101</v>
      </c>
      <c r="B1042" s="12" t="s">
        <v>563</v>
      </c>
      <c r="C1042" s="13" t="s">
        <v>73</v>
      </c>
      <c r="D1042" s="13" t="s">
        <v>68</v>
      </c>
      <c r="E1042" s="13" t="s">
        <v>278</v>
      </c>
      <c r="F1042" s="13" t="s">
        <v>102</v>
      </c>
      <c r="G1042" s="14">
        <f>G1043+G1044+G1045</f>
        <v>5788.5</v>
      </c>
      <c r="H1042" s="87">
        <f>H1043+H1044+H1045</f>
        <v>5787.200000000001</v>
      </c>
      <c r="I1042" s="14">
        <f t="shared" si="161"/>
        <v>1.2999999999992724</v>
      </c>
      <c r="J1042" s="77">
        <f t="shared" si="162"/>
        <v>99.97754167746396</v>
      </c>
    </row>
    <row r="1043" spans="1:10" ht="12.75">
      <c r="A1043" s="46" t="s">
        <v>176</v>
      </c>
      <c r="B1043" s="12" t="s">
        <v>563</v>
      </c>
      <c r="C1043" s="13" t="s">
        <v>73</v>
      </c>
      <c r="D1043" s="13" t="s">
        <v>68</v>
      </c>
      <c r="E1043" s="13" t="s">
        <v>278</v>
      </c>
      <c r="F1043" s="13" t="s">
        <v>103</v>
      </c>
      <c r="G1043" s="14">
        <f>4900.3-320+5.1</f>
        <v>4585.400000000001</v>
      </c>
      <c r="H1043" s="87">
        <v>4585.3</v>
      </c>
      <c r="I1043" s="14">
        <f t="shared" si="161"/>
        <v>0.1000000000003638</v>
      </c>
      <c r="J1043" s="77">
        <f t="shared" si="162"/>
        <v>99.99781916517642</v>
      </c>
    </row>
    <row r="1044" spans="1:10" ht="25.5">
      <c r="A1044" s="46" t="s">
        <v>104</v>
      </c>
      <c r="B1044" s="12" t="s">
        <v>563</v>
      </c>
      <c r="C1044" s="13" t="s">
        <v>73</v>
      </c>
      <c r="D1044" s="13" t="s">
        <v>68</v>
      </c>
      <c r="E1044" s="13" t="s">
        <v>278</v>
      </c>
      <c r="F1044" s="13" t="s">
        <v>105</v>
      </c>
      <c r="G1044" s="14">
        <f>18+10-1</f>
        <v>27</v>
      </c>
      <c r="H1044" s="87">
        <v>25.8</v>
      </c>
      <c r="I1044" s="14">
        <f t="shared" si="161"/>
        <v>1.1999999999999993</v>
      </c>
      <c r="J1044" s="77">
        <f t="shared" si="162"/>
        <v>95.55555555555556</v>
      </c>
    </row>
    <row r="1045" spans="1:10" ht="25.5">
      <c r="A1045" s="46" t="s">
        <v>178</v>
      </c>
      <c r="B1045" s="12" t="s">
        <v>563</v>
      </c>
      <c r="C1045" s="13" t="s">
        <v>73</v>
      </c>
      <c r="D1045" s="13" t="s">
        <v>68</v>
      </c>
      <c r="E1045" s="13" t="s">
        <v>278</v>
      </c>
      <c r="F1045" s="13" t="s">
        <v>177</v>
      </c>
      <c r="G1045" s="14">
        <f>1225-80+31.1</f>
        <v>1176.1</v>
      </c>
      <c r="H1045" s="87">
        <v>1176.1</v>
      </c>
      <c r="I1045" s="14">
        <f t="shared" si="161"/>
        <v>0</v>
      </c>
      <c r="J1045" s="77">
        <f t="shared" si="162"/>
        <v>100</v>
      </c>
    </row>
    <row r="1046" spans="1:10" ht="12.75">
      <c r="A1046" s="46" t="s">
        <v>274</v>
      </c>
      <c r="B1046" s="12" t="s">
        <v>563</v>
      </c>
      <c r="C1046" s="13" t="s">
        <v>73</v>
      </c>
      <c r="D1046" s="13" t="s">
        <v>68</v>
      </c>
      <c r="E1046" s="13" t="s">
        <v>279</v>
      </c>
      <c r="F1046" s="13"/>
      <c r="G1046" s="14">
        <f>G1047+G1050</f>
        <v>541.4</v>
      </c>
      <c r="H1046" s="87">
        <f>H1047+H1050</f>
        <v>539.5</v>
      </c>
      <c r="I1046" s="14">
        <f t="shared" si="161"/>
        <v>1.8999999999999773</v>
      </c>
      <c r="J1046" s="77">
        <f t="shared" si="162"/>
        <v>99.64905799778353</v>
      </c>
    </row>
    <row r="1047" spans="1:10" ht="25.5">
      <c r="A1047" s="46" t="s">
        <v>770</v>
      </c>
      <c r="B1047" s="12" t="s">
        <v>563</v>
      </c>
      <c r="C1047" s="13" t="s">
        <v>73</v>
      </c>
      <c r="D1047" s="13" t="s">
        <v>68</v>
      </c>
      <c r="E1047" s="13" t="s">
        <v>279</v>
      </c>
      <c r="F1047" s="13" t="s">
        <v>113</v>
      </c>
      <c r="G1047" s="14">
        <f>G1048</f>
        <v>529</v>
      </c>
      <c r="H1047" s="87">
        <f>H1048</f>
        <v>527.2</v>
      </c>
      <c r="I1047" s="14">
        <f t="shared" si="161"/>
        <v>1.7999999999999545</v>
      </c>
      <c r="J1047" s="77">
        <f t="shared" si="162"/>
        <v>99.65973534971646</v>
      </c>
    </row>
    <row r="1048" spans="1:10" ht="25.5">
      <c r="A1048" s="46" t="s">
        <v>106</v>
      </c>
      <c r="B1048" s="12" t="s">
        <v>563</v>
      </c>
      <c r="C1048" s="13" t="s">
        <v>73</v>
      </c>
      <c r="D1048" s="13" t="s">
        <v>68</v>
      </c>
      <c r="E1048" s="13" t="s">
        <v>279</v>
      </c>
      <c r="F1048" s="13" t="s">
        <v>107</v>
      </c>
      <c r="G1048" s="14">
        <f>G1049</f>
        <v>529</v>
      </c>
      <c r="H1048" s="87">
        <f>H1049</f>
        <v>527.2</v>
      </c>
      <c r="I1048" s="14">
        <f t="shared" si="161"/>
        <v>1.7999999999999545</v>
      </c>
      <c r="J1048" s="77">
        <f t="shared" si="162"/>
        <v>99.65973534971646</v>
      </c>
    </row>
    <row r="1049" spans="1:10" ht="25.5">
      <c r="A1049" s="46" t="s">
        <v>108</v>
      </c>
      <c r="B1049" s="12" t="s">
        <v>563</v>
      </c>
      <c r="C1049" s="13" t="s">
        <v>73</v>
      </c>
      <c r="D1049" s="13" t="s">
        <v>68</v>
      </c>
      <c r="E1049" s="13" t="s">
        <v>279</v>
      </c>
      <c r="F1049" s="13" t="s">
        <v>109</v>
      </c>
      <c r="G1049" s="14">
        <f>80+202.5+117+121.6+90-100+17.9</f>
        <v>529</v>
      </c>
      <c r="H1049" s="87">
        <v>527.2</v>
      </c>
      <c r="I1049" s="14">
        <f t="shared" si="161"/>
        <v>1.7999999999999545</v>
      </c>
      <c r="J1049" s="77">
        <f t="shared" si="162"/>
        <v>99.65973534971646</v>
      </c>
    </row>
    <row r="1050" spans="1:10" ht="12.75">
      <c r="A1050" s="46" t="s">
        <v>137</v>
      </c>
      <c r="B1050" s="12" t="s">
        <v>563</v>
      </c>
      <c r="C1050" s="13" t="s">
        <v>73</v>
      </c>
      <c r="D1050" s="13" t="s">
        <v>68</v>
      </c>
      <c r="E1050" s="13" t="s">
        <v>279</v>
      </c>
      <c r="F1050" s="13" t="s">
        <v>138</v>
      </c>
      <c r="G1050" s="14">
        <f>G1051</f>
        <v>12.399999999999999</v>
      </c>
      <c r="H1050" s="87">
        <f>H1051</f>
        <v>12.299999999999999</v>
      </c>
      <c r="I1050" s="14">
        <f t="shared" si="161"/>
        <v>0.09999999999999964</v>
      </c>
      <c r="J1050" s="77">
        <f t="shared" si="162"/>
        <v>99.19354838709677</v>
      </c>
    </row>
    <row r="1051" spans="1:10" ht="12.75">
      <c r="A1051" s="46" t="s">
        <v>140</v>
      </c>
      <c r="B1051" s="12" t="s">
        <v>563</v>
      </c>
      <c r="C1051" s="13" t="s">
        <v>73</v>
      </c>
      <c r="D1051" s="13" t="s">
        <v>68</v>
      </c>
      <c r="E1051" s="13" t="s">
        <v>279</v>
      </c>
      <c r="F1051" s="13" t="s">
        <v>141</v>
      </c>
      <c r="G1051" s="14">
        <f>G1052+G1053+G1054</f>
        <v>12.399999999999999</v>
      </c>
      <c r="H1051" s="87">
        <f>H1052+H1053+H1054</f>
        <v>12.299999999999999</v>
      </c>
      <c r="I1051" s="14">
        <f t="shared" si="161"/>
        <v>0.09999999999999964</v>
      </c>
      <c r="J1051" s="77">
        <f t="shared" si="162"/>
        <v>99.19354838709677</v>
      </c>
    </row>
    <row r="1052" spans="1:10" ht="12.75">
      <c r="A1052" s="46" t="s">
        <v>142</v>
      </c>
      <c r="B1052" s="12" t="s">
        <v>563</v>
      </c>
      <c r="C1052" s="13" t="s">
        <v>73</v>
      </c>
      <c r="D1052" s="13" t="s">
        <v>68</v>
      </c>
      <c r="E1052" s="13" t="s">
        <v>279</v>
      </c>
      <c r="F1052" s="13" t="s">
        <v>143</v>
      </c>
      <c r="G1052" s="14">
        <f>16-4.8</f>
        <v>11.2</v>
      </c>
      <c r="H1052" s="87">
        <v>11.1</v>
      </c>
      <c r="I1052" s="14">
        <f t="shared" si="161"/>
        <v>0.09999999999999964</v>
      </c>
      <c r="J1052" s="77">
        <f t="shared" si="162"/>
        <v>99.10714285714286</v>
      </c>
    </row>
    <row r="1053" spans="1:10" ht="12.75">
      <c r="A1053" s="46" t="s">
        <v>179</v>
      </c>
      <c r="B1053" s="12" t="s">
        <v>563</v>
      </c>
      <c r="C1053" s="13" t="s">
        <v>73</v>
      </c>
      <c r="D1053" s="13" t="s">
        <v>68</v>
      </c>
      <c r="E1053" s="13" t="s">
        <v>279</v>
      </c>
      <c r="F1053" s="13" t="s">
        <v>144</v>
      </c>
      <c r="G1053" s="14">
        <f>1-0.8</f>
        <v>0.19999999999999996</v>
      </c>
      <c r="H1053" s="87">
        <v>0.2</v>
      </c>
      <c r="I1053" s="14">
        <f t="shared" si="161"/>
        <v>0</v>
      </c>
      <c r="J1053" s="77">
        <f t="shared" si="162"/>
        <v>100.00000000000003</v>
      </c>
    </row>
    <row r="1054" spans="1:10" ht="12.75">
      <c r="A1054" s="46" t="s">
        <v>180</v>
      </c>
      <c r="B1054" s="12" t="s">
        <v>563</v>
      </c>
      <c r="C1054" s="13" t="s">
        <v>73</v>
      </c>
      <c r="D1054" s="13" t="s">
        <v>68</v>
      </c>
      <c r="E1054" s="13" t="s">
        <v>279</v>
      </c>
      <c r="F1054" s="13" t="s">
        <v>181</v>
      </c>
      <c r="G1054" s="14">
        <v>1</v>
      </c>
      <c r="H1054" s="87">
        <v>1</v>
      </c>
      <c r="I1054" s="14">
        <f t="shared" si="161"/>
        <v>0</v>
      </c>
      <c r="J1054" s="77">
        <f t="shared" si="162"/>
        <v>100</v>
      </c>
    </row>
    <row r="1055" spans="1:10" ht="36.75" customHeight="1">
      <c r="A1055" s="46" t="s">
        <v>405</v>
      </c>
      <c r="B1055" s="12" t="s">
        <v>563</v>
      </c>
      <c r="C1055" s="13" t="s">
        <v>73</v>
      </c>
      <c r="D1055" s="13" t="s">
        <v>68</v>
      </c>
      <c r="E1055" s="13" t="s">
        <v>266</v>
      </c>
      <c r="F1055" s="13"/>
      <c r="G1055" s="14">
        <f>G1056</f>
        <v>10314</v>
      </c>
      <c r="H1055" s="87">
        <f>H1056</f>
        <v>10249.399999999998</v>
      </c>
      <c r="I1055" s="14">
        <f t="shared" si="161"/>
        <v>64.60000000000218</v>
      </c>
      <c r="J1055" s="77">
        <f t="shared" si="162"/>
        <v>99.37366686057784</v>
      </c>
    </row>
    <row r="1056" spans="1:10" ht="24.75" customHeight="1">
      <c r="A1056" s="46" t="s">
        <v>289</v>
      </c>
      <c r="B1056" s="12" t="s">
        <v>563</v>
      </c>
      <c r="C1056" s="13" t="s">
        <v>73</v>
      </c>
      <c r="D1056" s="13" t="s">
        <v>68</v>
      </c>
      <c r="E1056" s="13" t="s">
        <v>518</v>
      </c>
      <c r="F1056" s="13"/>
      <c r="G1056" s="14">
        <f>G1057+G1069</f>
        <v>10314</v>
      </c>
      <c r="H1056" s="87">
        <f>H1057+H1069</f>
        <v>10249.399999999998</v>
      </c>
      <c r="I1056" s="14">
        <f t="shared" si="161"/>
        <v>64.60000000000218</v>
      </c>
      <c r="J1056" s="77">
        <f t="shared" si="162"/>
        <v>99.37366686057784</v>
      </c>
    </row>
    <row r="1057" spans="1:10" ht="12.75">
      <c r="A1057" s="46" t="s">
        <v>519</v>
      </c>
      <c r="B1057" s="12" t="s">
        <v>563</v>
      </c>
      <c r="C1057" s="13" t="s">
        <v>73</v>
      </c>
      <c r="D1057" s="13" t="s">
        <v>68</v>
      </c>
      <c r="E1057" s="13" t="s">
        <v>554</v>
      </c>
      <c r="F1057" s="13"/>
      <c r="G1057" s="14">
        <f>G1058+G1063+G1066</f>
        <v>6220.299999999999</v>
      </c>
      <c r="H1057" s="87">
        <f>H1058+H1063+H1066</f>
        <v>6220.299999999999</v>
      </c>
      <c r="I1057" s="14">
        <f t="shared" si="161"/>
        <v>0</v>
      </c>
      <c r="J1057" s="77">
        <f t="shared" si="162"/>
        <v>100</v>
      </c>
    </row>
    <row r="1058" spans="1:10" ht="38.25">
      <c r="A1058" s="46" t="s">
        <v>110</v>
      </c>
      <c r="B1058" s="12" t="s">
        <v>563</v>
      </c>
      <c r="C1058" s="13" t="s">
        <v>73</v>
      </c>
      <c r="D1058" s="13" t="s">
        <v>68</v>
      </c>
      <c r="E1058" s="13" t="s">
        <v>554</v>
      </c>
      <c r="F1058" s="13" t="s">
        <v>111</v>
      </c>
      <c r="G1058" s="14">
        <f>G1059</f>
        <v>5701.199999999999</v>
      </c>
      <c r="H1058" s="87">
        <f>H1059</f>
        <v>5701.199999999999</v>
      </c>
      <c r="I1058" s="14">
        <f t="shared" si="161"/>
        <v>0</v>
      </c>
      <c r="J1058" s="77">
        <f t="shared" si="162"/>
        <v>100</v>
      </c>
    </row>
    <row r="1059" spans="1:10" ht="12.75">
      <c r="A1059" s="69" t="s">
        <v>406</v>
      </c>
      <c r="B1059" s="12" t="s">
        <v>563</v>
      </c>
      <c r="C1059" s="13" t="s">
        <v>73</v>
      </c>
      <c r="D1059" s="13" t="s">
        <v>68</v>
      </c>
      <c r="E1059" s="13" t="s">
        <v>554</v>
      </c>
      <c r="F1059" s="13" t="s">
        <v>408</v>
      </c>
      <c r="G1059" s="14">
        <f>G1060+G1061+G1062</f>
        <v>5701.199999999999</v>
      </c>
      <c r="H1059" s="87">
        <f>H1060+H1061+H1062</f>
        <v>5701.199999999999</v>
      </c>
      <c r="I1059" s="14">
        <f t="shared" si="161"/>
        <v>0</v>
      </c>
      <c r="J1059" s="77">
        <f t="shared" si="162"/>
        <v>100</v>
      </c>
    </row>
    <row r="1060" spans="1:10" ht="12.75">
      <c r="A1060" s="46" t="s">
        <v>573</v>
      </c>
      <c r="B1060" s="12" t="s">
        <v>563</v>
      </c>
      <c r="C1060" s="13" t="s">
        <v>73</v>
      </c>
      <c r="D1060" s="13" t="s">
        <v>68</v>
      </c>
      <c r="E1060" s="13" t="s">
        <v>554</v>
      </c>
      <c r="F1060" s="13" t="s">
        <v>409</v>
      </c>
      <c r="G1060" s="14">
        <f>3750+770-51.3</f>
        <v>4468.7</v>
      </c>
      <c r="H1060" s="87">
        <v>4468.7</v>
      </c>
      <c r="I1060" s="14">
        <f t="shared" si="161"/>
        <v>0</v>
      </c>
      <c r="J1060" s="77">
        <f t="shared" si="162"/>
        <v>100</v>
      </c>
    </row>
    <row r="1061" spans="1:10" ht="12.75">
      <c r="A1061" s="46" t="s">
        <v>574</v>
      </c>
      <c r="B1061" s="12" t="s">
        <v>563</v>
      </c>
      <c r="C1061" s="13" t="s">
        <v>73</v>
      </c>
      <c r="D1061" s="13" t="s">
        <v>68</v>
      </c>
      <c r="E1061" s="13" t="s">
        <v>554</v>
      </c>
      <c r="F1061" s="13" t="s">
        <v>407</v>
      </c>
      <c r="G1061" s="14">
        <f>1.5+5+2-3.6</f>
        <v>4.9</v>
      </c>
      <c r="H1061" s="87">
        <v>4.9</v>
      </c>
      <c r="I1061" s="14">
        <f t="shared" si="161"/>
        <v>0</v>
      </c>
      <c r="J1061" s="77">
        <f t="shared" si="162"/>
        <v>100</v>
      </c>
    </row>
    <row r="1062" spans="1:10" ht="33" customHeight="1">
      <c r="A1062" s="46" t="s">
        <v>576</v>
      </c>
      <c r="B1062" s="12" t="s">
        <v>563</v>
      </c>
      <c r="C1062" s="13" t="s">
        <v>73</v>
      </c>
      <c r="D1062" s="13" t="s">
        <v>68</v>
      </c>
      <c r="E1062" s="13" t="s">
        <v>554</v>
      </c>
      <c r="F1062" s="13" t="s">
        <v>410</v>
      </c>
      <c r="G1062" s="14">
        <f>1132.5+80+15.1</f>
        <v>1227.6</v>
      </c>
      <c r="H1062" s="87">
        <v>1227.6</v>
      </c>
      <c r="I1062" s="14">
        <f t="shared" si="161"/>
        <v>0</v>
      </c>
      <c r="J1062" s="77">
        <f t="shared" si="162"/>
        <v>100</v>
      </c>
    </row>
    <row r="1063" spans="1:10" ht="25.5">
      <c r="A1063" s="46" t="s">
        <v>770</v>
      </c>
      <c r="B1063" s="12" t="s">
        <v>563</v>
      </c>
      <c r="C1063" s="13" t="s">
        <v>73</v>
      </c>
      <c r="D1063" s="13" t="s">
        <v>68</v>
      </c>
      <c r="E1063" s="13" t="s">
        <v>554</v>
      </c>
      <c r="F1063" s="13" t="s">
        <v>113</v>
      </c>
      <c r="G1063" s="14">
        <f>G1064</f>
        <v>514.6</v>
      </c>
      <c r="H1063" s="87">
        <f>H1064</f>
        <v>514.6</v>
      </c>
      <c r="I1063" s="14">
        <f t="shared" si="161"/>
        <v>0</v>
      </c>
      <c r="J1063" s="77">
        <f t="shared" si="162"/>
        <v>100</v>
      </c>
    </row>
    <row r="1064" spans="1:10" ht="25.5">
      <c r="A1064" s="46" t="s">
        <v>106</v>
      </c>
      <c r="B1064" s="12" t="s">
        <v>563</v>
      </c>
      <c r="C1064" s="13" t="s">
        <v>73</v>
      </c>
      <c r="D1064" s="13" t="s">
        <v>68</v>
      </c>
      <c r="E1064" s="13" t="s">
        <v>554</v>
      </c>
      <c r="F1064" s="13" t="s">
        <v>107</v>
      </c>
      <c r="G1064" s="14">
        <f>G1065</f>
        <v>514.6</v>
      </c>
      <c r="H1064" s="87">
        <f>H1065</f>
        <v>514.6</v>
      </c>
      <c r="I1064" s="14">
        <f t="shared" si="161"/>
        <v>0</v>
      </c>
      <c r="J1064" s="77">
        <f t="shared" si="162"/>
        <v>100</v>
      </c>
    </row>
    <row r="1065" spans="1:10" ht="25.5">
      <c r="A1065" s="46" t="s">
        <v>108</v>
      </c>
      <c r="B1065" s="12" t="s">
        <v>563</v>
      </c>
      <c r="C1065" s="13" t="s">
        <v>73</v>
      </c>
      <c r="D1065" s="13" t="s">
        <v>68</v>
      </c>
      <c r="E1065" s="13" t="s">
        <v>554</v>
      </c>
      <c r="F1065" s="13" t="s">
        <v>109</v>
      </c>
      <c r="G1065" s="14">
        <f>81+336+40+4+53.6</f>
        <v>514.6</v>
      </c>
      <c r="H1065" s="87">
        <v>514.6</v>
      </c>
      <c r="I1065" s="14">
        <f t="shared" si="161"/>
        <v>0</v>
      </c>
      <c r="J1065" s="77">
        <f t="shared" si="162"/>
        <v>100</v>
      </c>
    </row>
    <row r="1066" spans="1:10" ht="12.75">
      <c r="A1066" s="46" t="s">
        <v>137</v>
      </c>
      <c r="B1066" s="12" t="s">
        <v>563</v>
      </c>
      <c r="C1066" s="13" t="s">
        <v>73</v>
      </c>
      <c r="D1066" s="13" t="s">
        <v>68</v>
      </c>
      <c r="E1066" s="13" t="s">
        <v>554</v>
      </c>
      <c r="F1066" s="13" t="s">
        <v>138</v>
      </c>
      <c r="G1066" s="14">
        <f>G1067</f>
        <v>4.5</v>
      </c>
      <c r="H1066" s="87">
        <f>H1067</f>
        <v>4.5</v>
      </c>
      <c r="I1066" s="14">
        <f t="shared" si="161"/>
        <v>0</v>
      </c>
      <c r="J1066" s="77">
        <f t="shared" si="162"/>
        <v>100</v>
      </c>
    </row>
    <row r="1067" spans="1:10" ht="12.75">
      <c r="A1067" s="46" t="s">
        <v>140</v>
      </c>
      <c r="B1067" s="12" t="s">
        <v>563</v>
      </c>
      <c r="C1067" s="13" t="s">
        <v>73</v>
      </c>
      <c r="D1067" s="13" t="s">
        <v>68</v>
      </c>
      <c r="E1067" s="13" t="s">
        <v>554</v>
      </c>
      <c r="F1067" s="13" t="s">
        <v>141</v>
      </c>
      <c r="G1067" s="14">
        <f>G1068</f>
        <v>4.5</v>
      </c>
      <c r="H1067" s="87">
        <f>H1068</f>
        <v>4.5</v>
      </c>
      <c r="I1067" s="14">
        <f t="shared" si="161"/>
        <v>0</v>
      </c>
      <c r="J1067" s="77">
        <f t="shared" si="162"/>
        <v>100</v>
      </c>
    </row>
    <row r="1068" spans="1:10" ht="12.75">
      <c r="A1068" s="46" t="s">
        <v>142</v>
      </c>
      <c r="B1068" s="12" t="s">
        <v>563</v>
      </c>
      <c r="C1068" s="13" t="s">
        <v>73</v>
      </c>
      <c r="D1068" s="13" t="s">
        <v>68</v>
      </c>
      <c r="E1068" s="13" t="s">
        <v>554</v>
      </c>
      <c r="F1068" s="13" t="s">
        <v>143</v>
      </c>
      <c r="G1068" s="14">
        <f>10-5.5</f>
        <v>4.5</v>
      </c>
      <c r="H1068" s="87">
        <v>4.5</v>
      </c>
      <c r="I1068" s="14">
        <f t="shared" si="161"/>
        <v>0</v>
      </c>
      <c r="J1068" s="77">
        <f t="shared" si="162"/>
        <v>100</v>
      </c>
    </row>
    <row r="1069" spans="1:10" ht="12.75">
      <c r="A1069" s="46" t="s">
        <v>527</v>
      </c>
      <c r="B1069" s="12" t="s">
        <v>563</v>
      </c>
      <c r="C1069" s="13" t="s">
        <v>73</v>
      </c>
      <c r="D1069" s="13" t="s">
        <v>68</v>
      </c>
      <c r="E1069" s="13" t="s">
        <v>555</v>
      </c>
      <c r="F1069" s="13"/>
      <c r="G1069" s="14">
        <f>G1070+G1075+G1078</f>
        <v>4093.7</v>
      </c>
      <c r="H1069" s="87">
        <f>H1070+H1075+H1078</f>
        <v>4029.0999999999995</v>
      </c>
      <c r="I1069" s="14">
        <f t="shared" si="161"/>
        <v>64.60000000000036</v>
      </c>
      <c r="J1069" s="77">
        <f t="shared" si="162"/>
        <v>98.4219654591201</v>
      </c>
    </row>
    <row r="1070" spans="1:10" ht="38.25">
      <c r="A1070" s="46" t="s">
        <v>110</v>
      </c>
      <c r="B1070" s="12" t="s">
        <v>563</v>
      </c>
      <c r="C1070" s="13" t="s">
        <v>73</v>
      </c>
      <c r="D1070" s="13" t="s">
        <v>68</v>
      </c>
      <c r="E1070" s="13" t="s">
        <v>555</v>
      </c>
      <c r="F1070" s="13" t="s">
        <v>111</v>
      </c>
      <c r="G1070" s="14">
        <f>G1071</f>
        <v>2511.9</v>
      </c>
      <c r="H1070" s="87">
        <f>H1071</f>
        <v>2507.3999999999996</v>
      </c>
      <c r="I1070" s="14">
        <f t="shared" si="161"/>
        <v>4.500000000000455</v>
      </c>
      <c r="J1070" s="77">
        <f t="shared" si="162"/>
        <v>99.82085274095304</v>
      </c>
    </row>
    <row r="1071" spans="1:10" ht="12.75">
      <c r="A1071" s="69" t="s">
        <v>406</v>
      </c>
      <c r="B1071" s="12" t="s">
        <v>563</v>
      </c>
      <c r="C1071" s="13" t="s">
        <v>73</v>
      </c>
      <c r="D1071" s="13" t="s">
        <v>68</v>
      </c>
      <c r="E1071" s="13" t="s">
        <v>555</v>
      </c>
      <c r="F1071" s="13" t="s">
        <v>408</v>
      </c>
      <c r="G1071" s="14">
        <f>G1072+G1073+G1074</f>
        <v>2511.9</v>
      </c>
      <c r="H1071" s="87">
        <f>H1072+H1073+H1074</f>
        <v>2507.3999999999996</v>
      </c>
      <c r="I1071" s="14">
        <f t="shared" si="161"/>
        <v>4.500000000000455</v>
      </c>
      <c r="J1071" s="77">
        <f t="shared" si="162"/>
        <v>99.82085274095304</v>
      </c>
    </row>
    <row r="1072" spans="1:10" ht="12.75">
      <c r="A1072" s="46" t="s">
        <v>573</v>
      </c>
      <c r="B1072" s="12" t="s">
        <v>563</v>
      </c>
      <c r="C1072" s="13" t="s">
        <v>73</v>
      </c>
      <c r="D1072" s="13" t="s">
        <v>68</v>
      </c>
      <c r="E1072" s="13" t="s">
        <v>555</v>
      </c>
      <c r="F1072" s="13" t="s">
        <v>409</v>
      </c>
      <c r="G1072" s="14">
        <f>1825.8-140+220.5</f>
        <v>1906.3</v>
      </c>
      <c r="H1072" s="87">
        <v>1906.3</v>
      </c>
      <c r="I1072" s="14">
        <f t="shared" si="161"/>
        <v>0</v>
      </c>
      <c r="J1072" s="77">
        <f t="shared" si="162"/>
        <v>100</v>
      </c>
    </row>
    <row r="1073" spans="1:10" ht="12.75">
      <c r="A1073" s="46" t="s">
        <v>574</v>
      </c>
      <c r="B1073" s="12" t="s">
        <v>563</v>
      </c>
      <c r="C1073" s="13" t="s">
        <v>73</v>
      </c>
      <c r="D1073" s="13" t="s">
        <v>68</v>
      </c>
      <c r="E1073" s="13" t="s">
        <v>555</v>
      </c>
      <c r="F1073" s="13" t="s">
        <v>407</v>
      </c>
      <c r="G1073" s="14">
        <f>35+30-34</f>
        <v>31</v>
      </c>
      <c r="H1073" s="87">
        <v>26.6</v>
      </c>
      <c r="I1073" s="14">
        <f t="shared" si="161"/>
        <v>4.399999999999999</v>
      </c>
      <c r="J1073" s="77">
        <f t="shared" si="162"/>
        <v>85.80645161290323</v>
      </c>
    </row>
    <row r="1074" spans="1:10" ht="25.5">
      <c r="A1074" s="46" t="s">
        <v>576</v>
      </c>
      <c r="B1074" s="12" t="s">
        <v>563</v>
      </c>
      <c r="C1074" s="13" t="s">
        <v>73</v>
      </c>
      <c r="D1074" s="13" t="s">
        <v>68</v>
      </c>
      <c r="E1074" s="13" t="s">
        <v>555</v>
      </c>
      <c r="F1074" s="13" t="s">
        <v>410</v>
      </c>
      <c r="G1074" s="14">
        <f>551.4-60+83.2</f>
        <v>574.6</v>
      </c>
      <c r="H1074" s="87">
        <v>574.5</v>
      </c>
      <c r="I1074" s="14">
        <f t="shared" si="161"/>
        <v>0.10000000000002274</v>
      </c>
      <c r="J1074" s="77">
        <f t="shared" si="162"/>
        <v>99.98259658893143</v>
      </c>
    </row>
    <row r="1075" spans="1:10" ht="25.5">
      <c r="A1075" s="46" t="s">
        <v>770</v>
      </c>
      <c r="B1075" s="12" t="s">
        <v>563</v>
      </c>
      <c r="C1075" s="13" t="s">
        <v>73</v>
      </c>
      <c r="D1075" s="13" t="s">
        <v>68</v>
      </c>
      <c r="E1075" s="13" t="s">
        <v>555</v>
      </c>
      <c r="F1075" s="13" t="s">
        <v>113</v>
      </c>
      <c r="G1075" s="14">
        <f>G1076</f>
        <v>1571.1000000000001</v>
      </c>
      <c r="H1075" s="87">
        <f>H1076</f>
        <v>1511</v>
      </c>
      <c r="I1075" s="14">
        <f t="shared" si="161"/>
        <v>60.100000000000136</v>
      </c>
      <c r="J1075" s="77">
        <f t="shared" si="162"/>
        <v>96.17465470052828</v>
      </c>
    </row>
    <row r="1076" spans="1:10" ht="25.5">
      <c r="A1076" s="46" t="s">
        <v>106</v>
      </c>
      <c r="B1076" s="12" t="s">
        <v>563</v>
      </c>
      <c r="C1076" s="13" t="s">
        <v>73</v>
      </c>
      <c r="D1076" s="13" t="s">
        <v>68</v>
      </c>
      <c r="E1076" s="13" t="s">
        <v>555</v>
      </c>
      <c r="F1076" s="13" t="s">
        <v>107</v>
      </c>
      <c r="G1076" s="14">
        <f>G1077</f>
        <v>1571.1000000000001</v>
      </c>
      <c r="H1076" s="87">
        <f>H1077</f>
        <v>1511</v>
      </c>
      <c r="I1076" s="14">
        <f t="shared" si="161"/>
        <v>60.100000000000136</v>
      </c>
      <c r="J1076" s="77">
        <f t="shared" si="162"/>
        <v>96.17465470052828</v>
      </c>
    </row>
    <row r="1077" spans="1:10" ht="25.5">
      <c r="A1077" s="46" t="s">
        <v>108</v>
      </c>
      <c r="B1077" s="12" t="s">
        <v>563</v>
      </c>
      <c r="C1077" s="13" t="s">
        <v>73</v>
      </c>
      <c r="D1077" s="13" t="s">
        <v>68</v>
      </c>
      <c r="E1077" s="13" t="s">
        <v>555</v>
      </c>
      <c r="F1077" s="13" t="s">
        <v>109</v>
      </c>
      <c r="G1077" s="14">
        <f>608.2+184.1+77+1075-50-323.2</f>
        <v>1571.1000000000001</v>
      </c>
      <c r="H1077" s="87">
        <v>1511</v>
      </c>
      <c r="I1077" s="14">
        <f t="shared" si="161"/>
        <v>60.100000000000136</v>
      </c>
      <c r="J1077" s="77">
        <f t="shared" si="162"/>
        <v>96.17465470052828</v>
      </c>
    </row>
    <row r="1078" spans="1:10" ht="12.75">
      <c r="A1078" s="46" t="s">
        <v>137</v>
      </c>
      <c r="B1078" s="12" t="s">
        <v>563</v>
      </c>
      <c r="C1078" s="13" t="s">
        <v>73</v>
      </c>
      <c r="D1078" s="13" t="s">
        <v>68</v>
      </c>
      <c r="E1078" s="13" t="s">
        <v>555</v>
      </c>
      <c r="F1078" s="13" t="s">
        <v>138</v>
      </c>
      <c r="G1078" s="14">
        <f>G1079</f>
        <v>10.7</v>
      </c>
      <c r="H1078" s="87">
        <f>H1079</f>
        <v>10.7</v>
      </c>
      <c r="I1078" s="14">
        <f t="shared" si="161"/>
        <v>0</v>
      </c>
      <c r="J1078" s="77">
        <f t="shared" si="162"/>
        <v>100</v>
      </c>
    </row>
    <row r="1079" spans="1:10" ht="12.75">
      <c r="A1079" s="46" t="s">
        <v>140</v>
      </c>
      <c r="B1079" s="12" t="s">
        <v>563</v>
      </c>
      <c r="C1079" s="13" t="s">
        <v>73</v>
      </c>
      <c r="D1079" s="13" t="s">
        <v>68</v>
      </c>
      <c r="E1079" s="13" t="s">
        <v>555</v>
      </c>
      <c r="F1079" s="13" t="s">
        <v>141</v>
      </c>
      <c r="G1079" s="14">
        <f>G1080+G1081</f>
        <v>10.7</v>
      </c>
      <c r="H1079" s="87">
        <f>H1080+H1081</f>
        <v>10.7</v>
      </c>
      <c r="I1079" s="14">
        <f t="shared" si="161"/>
        <v>0</v>
      </c>
      <c r="J1079" s="77">
        <f t="shared" si="162"/>
        <v>100</v>
      </c>
    </row>
    <row r="1080" spans="1:10" ht="12.75">
      <c r="A1080" s="46" t="s">
        <v>142</v>
      </c>
      <c r="B1080" s="12" t="s">
        <v>563</v>
      </c>
      <c r="C1080" s="13" t="s">
        <v>73</v>
      </c>
      <c r="D1080" s="13" t="s">
        <v>68</v>
      </c>
      <c r="E1080" s="13" t="s">
        <v>555</v>
      </c>
      <c r="F1080" s="13" t="s">
        <v>143</v>
      </c>
      <c r="G1080" s="14">
        <v>7.5</v>
      </c>
      <c r="H1080" s="87">
        <v>7.5</v>
      </c>
      <c r="I1080" s="14">
        <f t="shared" si="161"/>
        <v>0</v>
      </c>
      <c r="J1080" s="77">
        <f t="shared" si="162"/>
        <v>100</v>
      </c>
    </row>
    <row r="1081" spans="1:10" ht="12.75">
      <c r="A1081" s="46" t="s">
        <v>179</v>
      </c>
      <c r="B1081" s="12" t="s">
        <v>563</v>
      </c>
      <c r="C1081" s="13" t="s">
        <v>73</v>
      </c>
      <c r="D1081" s="13" t="s">
        <v>68</v>
      </c>
      <c r="E1081" s="13" t="s">
        <v>555</v>
      </c>
      <c r="F1081" s="13" t="s">
        <v>144</v>
      </c>
      <c r="G1081" s="14">
        <f>6-2.8</f>
        <v>3.2</v>
      </c>
      <c r="H1081" s="87">
        <v>3.2</v>
      </c>
      <c r="I1081" s="14">
        <f t="shared" si="161"/>
        <v>0</v>
      </c>
      <c r="J1081" s="77">
        <f t="shared" si="162"/>
        <v>100</v>
      </c>
    </row>
    <row r="1082" spans="1:10" ht="12.75">
      <c r="A1082" s="60" t="s">
        <v>62</v>
      </c>
      <c r="B1082" s="37" t="s">
        <v>563</v>
      </c>
      <c r="C1082" s="29" t="s">
        <v>71</v>
      </c>
      <c r="D1082" s="29" t="s">
        <v>36</v>
      </c>
      <c r="E1082" s="29"/>
      <c r="F1082" s="29"/>
      <c r="G1082" s="30">
        <f aca="true" t="shared" si="163" ref="G1082:H1084">G1083</f>
        <v>1411.8</v>
      </c>
      <c r="H1082" s="105">
        <f t="shared" si="163"/>
        <v>1411.83</v>
      </c>
      <c r="I1082" s="30">
        <f t="shared" si="161"/>
        <v>-0.029999999999972715</v>
      </c>
      <c r="J1082" s="82">
        <f t="shared" si="162"/>
        <v>100.00212494687632</v>
      </c>
    </row>
    <row r="1083" spans="1:10" ht="12.75">
      <c r="A1083" s="60" t="s">
        <v>61</v>
      </c>
      <c r="B1083" s="37" t="s">
        <v>563</v>
      </c>
      <c r="C1083" s="29" t="s">
        <v>71</v>
      </c>
      <c r="D1083" s="29" t="s">
        <v>70</v>
      </c>
      <c r="E1083" s="29"/>
      <c r="F1083" s="29"/>
      <c r="G1083" s="30">
        <f t="shared" si="163"/>
        <v>1411.8</v>
      </c>
      <c r="H1083" s="105">
        <f t="shared" si="163"/>
        <v>1411.83</v>
      </c>
      <c r="I1083" s="30">
        <f t="shared" si="161"/>
        <v>-0.029999999999972715</v>
      </c>
      <c r="J1083" s="82">
        <f t="shared" si="162"/>
        <v>100.00212494687632</v>
      </c>
    </row>
    <row r="1084" spans="1:10" ht="25.5">
      <c r="A1084" s="46" t="s">
        <v>367</v>
      </c>
      <c r="B1084" s="12" t="s">
        <v>563</v>
      </c>
      <c r="C1084" s="13" t="s">
        <v>71</v>
      </c>
      <c r="D1084" s="13" t="s">
        <v>70</v>
      </c>
      <c r="E1084" s="45" t="s">
        <v>239</v>
      </c>
      <c r="F1084" s="13"/>
      <c r="G1084" s="14">
        <f t="shared" si="163"/>
        <v>1411.8</v>
      </c>
      <c r="H1084" s="87">
        <f t="shared" si="163"/>
        <v>1411.83</v>
      </c>
      <c r="I1084" s="14">
        <f t="shared" si="161"/>
        <v>-0.029999999999972715</v>
      </c>
      <c r="J1084" s="77">
        <f t="shared" si="162"/>
        <v>100.00212494687632</v>
      </c>
    </row>
    <row r="1085" spans="1:10" ht="12.75">
      <c r="A1085" s="46" t="s">
        <v>301</v>
      </c>
      <c r="B1085" s="12" t="s">
        <v>563</v>
      </c>
      <c r="C1085" s="13" t="s">
        <v>71</v>
      </c>
      <c r="D1085" s="13" t="s">
        <v>70</v>
      </c>
      <c r="E1085" s="45" t="s">
        <v>493</v>
      </c>
      <c r="F1085" s="13"/>
      <c r="G1085" s="14">
        <f>G1086+G1090</f>
        <v>1411.8</v>
      </c>
      <c r="H1085" s="87">
        <f>H1086+H1090</f>
        <v>1411.83</v>
      </c>
      <c r="I1085" s="14">
        <f t="shared" si="161"/>
        <v>-0.029999999999972715</v>
      </c>
      <c r="J1085" s="77">
        <f t="shared" si="162"/>
        <v>100.00212494687632</v>
      </c>
    </row>
    <row r="1086" spans="1:10" ht="25.5">
      <c r="A1086" s="25" t="s">
        <v>743</v>
      </c>
      <c r="B1086" s="12" t="s">
        <v>563</v>
      </c>
      <c r="C1086" s="13" t="s">
        <v>71</v>
      </c>
      <c r="D1086" s="13" t="s">
        <v>70</v>
      </c>
      <c r="E1086" s="45" t="s">
        <v>681</v>
      </c>
      <c r="F1086" s="13"/>
      <c r="G1086" s="14">
        <f aca="true" t="shared" si="164" ref="G1086:H1088">G1087</f>
        <v>1210</v>
      </c>
      <c r="H1086" s="87">
        <f t="shared" si="164"/>
        <v>1210</v>
      </c>
      <c r="I1086" s="14">
        <f t="shared" si="161"/>
        <v>0</v>
      </c>
      <c r="J1086" s="77">
        <f t="shared" si="162"/>
        <v>100</v>
      </c>
    </row>
    <row r="1087" spans="1:10" ht="12.75">
      <c r="A1087" s="9" t="s">
        <v>126</v>
      </c>
      <c r="B1087" s="12" t="s">
        <v>563</v>
      </c>
      <c r="C1087" s="13" t="s">
        <v>71</v>
      </c>
      <c r="D1087" s="13" t="s">
        <v>70</v>
      </c>
      <c r="E1087" s="45" t="s">
        <v>681</v>
      </c>
      <c r="F1087" s="13" t="s">
        <v>127</v>
      </c>
      <c r="G1087" s="14">
        <f t="shared" si="164"/>
        <v>1210</v>
      </c>
      <c r="H1087" s="87">
        <f t="shared" si="164"/>
        <v>1210</v>
      </c>
      <c r="I1087" s="14">
        <f t="shared" si="161"/>
        <v>0</v>
      </c>
      <c r="J1087" s="77">
        <f t="shared" si="162"/>
        <v>100</v>
      </c>
    </row>
    <row r="1088" spans="1:10" ht="12.75">
      <c r="A1088" s="9" t="s">
        <v>146</v>
      </c>
      <c r="B1088" s="12" t="s">
        <v>563</v>
      </c>
      <c r="C1088" s="13" t="s">
        <v>71</v>
      </c>
      <c r="D1088" s="13" t="s">
        <v>70</v>
      </c>
      <c r="E1088" s="45" t="s">
        <v>681</v>
      </c>
      <c r="F1088" s="13" t="s">
        <v>145</v>
      </c>
      <c r="G1088" s="14">
        <f t="shared" si="164"/>
        <v>1210</v>
      </c>
      <c r="H1088" s="87">
        <f t="shared" si="164"/>
        <v>1210</v>
      </c>
      <c r="I1088" s="14">
        <f t="shared" si="161"/>
        <v>0</v>
      </c>
      <c r="J1088" s="77">
        <f t="shared" si="162"/>
        <v>100</v>
      </c>
    </row>
    <row r="1089" spans="1:10" ht="12.75">
      <c r="A1089" s="9" t="s">
        <v>738</v>
      </c>
      <c r="B1089" s="12" t="s">
        <v>563</v>
      </c>
      <c r="C1089" s="13" t="s">
        <v>71</v>
      </c>
      <c r="D1089" s="13" t="s">
        <v>70</v>
      </c>
      <c r="E1089" s="45" t="s">
        <v>681</v>
      </c>
      <c r="F1089" s="13" t="s">
        <v>739</v>
      </c>
      <c r="G1089" s="14">
        <v>1210</v>
      </c>
      <c r="H1089" s="87">
        <v>1210</v>
      </c>
      <c r="I1089" s="14">
        <f t="shared" si="161"/>
        <v>0</v>
      </c>
      <c r="J1089" s="77">
        <f t="shared" si="162"/>
        <v>100</v>
      </c>
    </row>
    <row r="1090" spans="1:10" ht="25.5">
      <c r="A1090" s="25" t="s">
        <v>682</v>
      </c>
      <c r="B1090" s="12" t="s">
        <v>563</v>
      </c>
      <c r="C1090" s="13" t="s">
        <v>71</v>
      </c>
      <c r="D1090" s="13" t="s">
        <v>70</v>
      </c>
      <c r="E1090" s="45" t="s">
        <v>683</v>
      </c>
      <c r="F1090" s="13"/>
      <c r="G1090" s="14">
        <f aca="true" t="shared" si="165" ref="G1090:H1092">G1091</f>
        <v>201.79999999999998</v>
      </c>
      <c r="H1090" s="87">
        <f t="shared" si="165"/>
        <v>201.83</v>
      </c>
      <c r="I1090" s="14">
        <f t="shared" si="161"/>
        <v>-0.03000000000002956</v>
      </c>
      <c r="J1090" s="77">
        <f t="shared" si="162"/>
        <v>100.01486620416256</v>
      </c>
    </row>
    <row r="1091" spans="1:10" ht="12.75">
      <c r="A1091" s="9" t="s">
        <v>126</v>
      </c>
      <c r="B1091" s="12" t="s">
        <v>563</v>
      </c>
      <c r="C1091" s="13" t="s">
        <v>71</v>
      </c>
      <c r="D1091" s="13" t="s">
        <v>70</v>
      </c>
      <c r="E1091" s="45" t="s">
        <v>683</v>
      </c>
      <c r="F1091" s="13" t="s">
        <v>127</v>
      </c>
      <c r="G1091" s="14">
        <f t="shared" si="165"/>
        <v>201.79999999999998</v>
      </c>
      <c r="H1091" s="87">
        <f t="shared" si="165"/>
        <v>201.83</v>
      </c>
      <c r="I1091" s="14">
        <f t="shared" si="161"/>
        <v>-0.03000000000002956</v>
      </c>
      <c r="J1091" s="77">
        <f t="shared" si="162"/>
        <v>100.01486620416256</v>
      </c>
    </row>
    <row r="1092" spans="1:10" ht="12.75">
      <c r="A1092" s="9" t="s">
        <v>146</v>
      </c>
      <c r="B1092" s="12" t="s">
        <v>563</v>
      </c>
      <c r="C1092" s="13" t="s">
        <v>71</v>
      </c>
      <c r="D1092" s="13" t="s">
        <v>70</v>
      </c>
      <c r="E1092" s="45" t="s">
        <v>683</v>
      </c>
      <c r="F1092" s="13" t="s">
        <v>145</v>
      </c>
      <c r="G1092" s="14">
        <f t="shared" si="165"/>
        <v>201.79999999999998</v>
      </c>
      <c r="H1092" s="87">
        <f t="shared" si="165"/>
        <v>201.83</v>
      </c>
      <c r="I1092" s="14">
        <f t="shared" si="161"/>
        <v>-0.03000000000002956</v>
      </c>
      <c r="J1092" s="77">
        <f t="shared" si="162"/>
        <v>100.01486620416256</v>
      </c>
    </row>
    <row r="1093" spans="1:10" ht="12.75">
      <c r="A1093" s="9" t="s">
        <v>738</v>
      </c>
      <c r="B1093" s="12" t="s">
        <v>563</v>
      </c>
      <c r="C1093" s="13" t="s">
        <v>71</v>
      </c>
      <c r="D1093" s="13" t="s">
        <v>70</v>
      </c>
      <c r="E1093" s="45" t="s">
        <v>683</v>
      </c>
      <c r="F1093" s="13" t="s">
        <v>739</v>
      </c>
      <c r="G1093" s="14">
        <f>201.7+0.1</f>
        <v>201.79999999999998</v>
      </c>
      <c r="H1093" s="87">
        <v>201.83</v>
      </c>
      <c r="I1093" s="14">
        <f t="shared" si="161"/>
        <v>-0.03000000000002956</v>
      </c>
      <c r="J1093" s="77">
        <f t="shared" si="162"/>
        <v>100.01486620416256</v>
      </c>
    </row>
    <row r="1094" spans="1:10" ht="12.75">
      <c r="A1094" s="60" t="s">
        <v>85</v>
      </c>
      <c r="B1094" s="37" t="s">
        <v>563</v>
      </c>
      <c r="C1094" s="29" t="s">
        <v>74</v>
      </c>
      <c r="D1094" s="29" t="s">
        <v>36</v>
      </c>
      <c r="E1094" s="13"/>
      <c r="F1094" s="13"/>
      <c r="G1094" s="30">
        <f>G1095</f>
        <v>10661.7</v>
      </c>
      <c r="H1094" s="105">
        <f>H1095</f>
        <v>10627.6</v>
      </c>
      <c r="I1094" s="30">
        <f t="shared" si="161"/>
        <v>34.100000000000364</v>
      </c>
      <c r="J1094" s="82">
        <f t="shared" si="162"/>
        <v>99.68016357616514</v>
      </c>
    </row>
    <row r="1095" spans="1:10" ht="12.75">
      <c r="A1095" s="60" t="s">
        <v>86</v>
      </c>
      <c r="B1095" s="37" t="s">
        <v>563</v>
      </c>
      <c r="C1095" s="29" t="s">
        <v>74</v>
      </c>
      <c r="D1095" s="29" t="s">
        <v>66</v>
      </c>
      <c r="E1095" s="29"/>
      <c r="F1095" s="29"/>
      <c r="G1095" s="30">
        <f>G1096+G1110+G1128+G1138+G1145</f>
        <v>10661.7</v>
      </c>
      <c r="H1095" s="105">
        <f>H1096+H1110+H1128+H1138+H1145</f>
        <v>10627.6</v>
      </c>
      <c r="I1095" s="30">
        <f t="shared" si="161"/>
        <v>34.100000000000364</v>
      </c>
      <c r="J1095" s="82">
        <f t="shared" si="162"/>
        <v>99.68016357616514</v>
      </c>
    </row>
    <row r="1096" spans="1:10" ht="25.5">
      <c r="A1096" s="46" t="s">
        <v>368</v>
      </c>
      <c r="B1096" s="12" t="s">
        <v>563</v>
      </c>
      <c r="C1096" s="13" t="s">
        <v>74</v>
      </c>
      <c r="D1096" s="13" t="s">
        <v>66</v>
      </c>
      <c r="E1096" s="45" t="s">
        <v>238</v>
      </c>
      <c r="F1096" s="32"/>
      <c r="G1096" s="14">
        <f>G1097</f>
        <v>1150</v>
      </c>
      <c r="H1096" s="87">
        <f>H1097</f>
        <v>1150</v>
      </c>
      <c r="I1096" s="14">
        <f t="shared" si="161"/>
        <v>0</v>
      </c>
      <c r="J1096" s="77">
        <f t="shared" si="162"/>
        <v>100</v>
      </c>
    </row>
    <row r="1097" spans="1:10" ht="25.5">
      <c r="A1097" s="46" t="s">
        <v>302</v>
      </c>
      <c r="B1097" s="12" t="s">
        <v>563</v>
      </c>
      <c r="C1097" s="13" t="s">
        <v>74</v>
      </c>
      <c r="D1097" s="13" t="s">
        <v>66</v>
      </c>
      <c r="E1097" s="45" t="s">
        <v>494</v>
      </c>
      <c r="F1097" s="32"/>
      <c r="G1097" s="14">
        <f>G1098+G1102+G1106</f>
        <v>1150</v>
      </c>
      <c r="H1097" s="87">
        <f>H1098+H1102+H1106</f>
        <v>1150</v>
      </c>
      <c r="I1097" s="14">
        <f t="shared" si="161"/>
        <v>0</v>
      </c>
      <c r="J1097" s="77">
        <f t="shared" si="162"/>
        <v>100</v>
      </c>
    </row>
    <row r="1098" spans="1:10" ht="25.5">
      <c r="A1098" s="46" t="s">
        <v>236</v>
      </c>
      <c r="B1098" s="12" t="s">
        <v>563</v>
      </c>
      <c r="C1098" s="13" t="s">
        <v>74</v>
      </c>
      <c r="D1098" s="13" t="s">
        <v>66</v>
      </c>
      <c r="E1098" s="45" t="s">
        <v>495</v>
      </c>
      <c r="F1098" s="32"/>
      <c r="G1098" s="14">
        <f aca="true" t="shared" si="166" ref="G1098:H1100">G1099</f>
        <v>623.8</v>
      </c>
      <c r="H1098" s="87">
        <f t="shared" si="166"/>
        <v>623.8</v>
      </c>
      <c r="I1098" s="14">
        <f aca="true" t="shared" si="167" ref="I1098:I1161">G1098-H1098</f>
        <v>0</v>
      </c>
      <c r="J1098" s="77">
        <f aca="true" t="shared" si="168" ref="J1098:J1161">H1098/G1098*100</f>
        <v>100</v>
      </c>
    </row>
    <row r="1099" spans="1:10" ht="25.5">
      <c r="A1099" s="46" t="s">
        <v>114</v>
      </c>
      <c r="B1099" s="12" t="s">
        <v>563</v>
      </c>
      <c r="C1099" s="13" t="s">
        <v>74</v>
      </c>
      <c r="D1099" s="13" t="s">
        <v>66</v>
      </c>
      <c r="E1099" s="45" t="s">
        <v>495</v>
      </c>
      <c r="F1099" s="13" t="s">
        <v>115</v>
      </c>
      <c r="G1099" s="14">
        <f t="shared" si="166"/>
        <v>623.8</v>
      </c>
      <c r="H1099" s="87">
        <f t="shared" si="166"/>
        <v>623.8</v>
      </c>
      <c r="I1099" s="14">
        <f t="shared" si="167"/>
        <v>0</v>
      </c>
      <c r="J1099" s="77">
        <f t="shared" si="168"/>
        <v>100</v>
      </c>
    </row>
    <row r="1100" spans="1:10" ht="12.75">
      <c r="A1100" s="46" t="s">
        <v>120</v>
      </c>
      <c r="B1100" s="12" t="s">
        <v>563</v>
      </c>
      <c r="C1100" s="13" t="s">
        <v>74</v>
      </c>
      <c r="D1100" s="13" t="s">
        <v>66</v>
      </c>
      <c r="E1100" s="45" t="s">
        <v>495</v>
      </c>
      <c r="F1100" s="13" t="s">
        <v>121</v>
      </c>
      <c r="G1100" s="14">
        <f t="shared" si="166"/>
        <v>623.8</v>
      </c>
      <c r="H1100" s="87">
        <f t="shared" si="166"/>
        <v>623.8</v>
      </c>
      <c r="I1100" s="14">
        <f t="shared" si="167"/>
        <v>0</v>
      </c>
      <c r="J1100" s="77">
        <f t="shared" si="168"/>
        <v>100</v>
      </c>
    </row>
    <row r="1101" spans="1:10" ht="12.75">
      <c r="A1101" s="46" t="s">
        <v>124</v>
      </c>
      <c r="B1101" s="12" t="s">
        <v>563</v>
      </c>
      <c r="C1101" s="13" t="s">
        <v>74</v>
      </c>
      <c r="D1101" s="13" t="s">
        <v>66</v>
      </c>
      <c r="E1101" s="45" t="s">
        <v>495</v>
      </c>
      <c r="F1101" s="13" t="s">
        <v>125</v>
      </c>
      <c r="G1101" s="14">
        <f>576.8+47</f>
        <v>623.8</v>
      </c>
      <c r="H1101" s="87">
        <v>623.8</v>
      </c>
      <c r="I1101" s="14">
        <f t="shared" si="167"/>
        <v>0</v>
      </c>
      <c r="J1101" s="77">
        <f t="shared" si="168"/>
        <v>100</v>
      </c>
    </row>
    <row r="1102" spans="1:10" ht="12.75">
      <c r="A1102" s="46" t="s">
        <v>204</v>
      </c>
      <c r="B1102" s="12" t="s">
        <v>563</v>
      </c>
      <c r="C1102" s="13" t="s">
        <v>74</v>
      </c>
      <c r="D1102" s="13" t="s">
        <v>66</v>
      </c>
      <c r="E1102" s="45" t="s">
        <v>496</v>
      </c>
      <c r="F1102" s="13"/>
      <c r="G1102" s="14">
        <f aca="true" t="shared" si="169" ref="G1102:H1104">G1103</f>
        <v>203.2</v>
      </c>
      <c r="H1102" s="87">
        <f t="shared" si="169"/>
        <v>203.2</v>
      </c>
      <c r="I1102" s="14">
        <f t="shared" si="167"/>
        <v>0</v>
      </c>
      <c r="J1102" s="77">
        <f t="shared" si="168"/>
        <v>100</v>
      </c>
    </row>
    <row r="1103" spans="1:10" ht="25.5">
      <c r="A1103" s="46" t="s">
        <v>114</v>
      </c>
      <c r="B1103" s="12" t="s">
        <v>563</v>
      </c>
      <c r="C1103" s="13" t="s">
        <v>74</v>
      </c>
      <c r="D1103" s="13" t="s">
        <v>66</v>
      </c>
      <c r="E1103" s="45" t="s">
        <v>496</v>
      </c>
      <c r="F1103" s="13" t="s">
        <v>115</v>
      </c>
      <c r="G1103" s="14">
        <f t="shared" si="169"/>
        <v>203.2</v>
      </c>
      <c r="H1103" s="87">
        <f t="shared" si="169"/>
        <v>203.2</v>
      </c>
      <c r="I1103" s="14">
        <f t="shared" si="167"/>
        <v>0</v>
      </c>
      <c r="J1103" s="77">
        <f t="shared" si="168"/>
        <v>100</v>
      </c>
    </row>
    <row r="1104" spans="1:10" ht="12.75">
      <c r="A1104" s="46" t="s">
        <v>120</v>
      </c>
      <c r="B1104" s="12" t="s">
        <v>563</v>
      </c>
      <c r="C1104" s="13" t="s">
        <v>74</v>
      </c>
      <c r="D1104" s="13" t="s">
        <v>66</v>
      </c>
      <c r="E1104" s="45" t="s">
        <v>496</v>
      </c>
      <c r="F1104" s="13" t="s">
        <v>121</v>
      </c>
      <c r="G1104" s="14">
        <f t="shared" si="169"/>
        <v>203.2</v>
      </c>
      <c r="H1104" s="87">
        <f t="shared" si="169"/>
        <v>203.2</v>
      </c>
      <c r="I1104" s="14">
        <f t="shared" si="167"/>
        <v>0</v>
      </c>
      <c r="J1104" s="77">
        <f t="shared" si="168"/>
        <v>100</v>
      </c>
    </row>
    <row r="1105" spans="1:10" ht="12.75">
      <c r="A1105" s="46" t="s">
        <v>124</v>
      </c>
      <c r="B1105" s="12" t="s">
        <v>563</v>
      </c>
      <c r="C1105" s="13" t="s">
        <v>74</v>
      </c>
      <c r="D1105" s="13" t="s">
        <v>66</v>
      </c>
      <c r="E1105" s="45" t="s">
        <v>496</v>
      </c>
      <c r="F1105" s="13" t="s">
        <v>125</v>
      </c>
      <c r="G1105" s="14">
        <f>173.2+30</f>
        <v>203.2</v>
      </c>
      <c r="H1105" s="87">
        <v>203.2</v>
      </c>
      <c r="I1105" s="14">
        <f t="shared" si="167"/>
        <v>0</v>
      </c>
      <c r="J1105" s="77">
        <f t="shared" si="168"/>
        <v>100</v>
      </c>
    </row>
    <row r="1106" spans="1:10" ht="12.75">
      <c r="A1106" s="46" t="s">
        <v>237</v>
      </c>
      <c r="B1106" s="12" t="s">
        <v>563</v>
      </c>
      <c r="C1106" s="13" t="s">
        <v>74</v>
      </c>
      <c r="D1106" s="13" t="s">
        <v>66</v>
      </c>
      <c r="E1106" s="45" t="s">
        <v>497</v>
      </c>
      <c r="F1106" s="13"/>
      <c r="G1106" s="14">
        <f aca="true" t="shared" si="170" ref="G1106:H1108">G1107</f>
        <v>323</v>
      </c>
      <c r="H1106" s="87">
        <f t="shared" si="170"/>
        <v>323</v>
      </c>
      <c r="I1106" s="14">
        <f t="shared" si="167"/>
        <v>0</v>
      </c>
      <c r="J1106" s="77">
        <f t="shared" si="168"/>
        <v>100</v>
      </c>
    </row>
    <row r="1107" spans="1:10" ht="25.5">
      <c r="A1107" s="46" t="s">
        <v>114</v>
      </c>
      <c r="B1107" s="12" t="s">
        <v>563</v>
      </c>
      <c r="C1107" s="13" t="s">
        <v>74</v>
      </c>
      <c r="D1107" s="13" t="s">
        <v>66</v>
      </c>
      <c r="E1107" s="45" t="s">
        <v>497</v>
      </c>
      <c r="F1107" s="13" t="s">
        <v>115</v>
      </c>
      <c r="G1107" s="14">
        <f t="shared" si="170"/>
        <v>323</v>
      </c>
      <c r="H1107" s="87">
        <f t="shared" si="170"/>
        <v>323</v>
      </c>
      <c r="I1107" s="14">
        <f t="shared" si="167"/>
        <v>0</v>
      </c>
      <c r="J1107" s="77">
        <f t="shared" si="168"/>
        <v>100</v>
      </c>
    </row>
    <row r="1108" spans="1:10" ht="12.75">
      <c r="A1108" s="46" t="s">
        <v>120</v>
      </c>
      <c r="B1108" s="12" t="s">
        <v>563</v>
      </c>
      <c r="C1108" s="13" t="s">
        <v>74</v>
      </c>
      <c r="D1108" s="13" t="s">
        <v>66</v>
      </c>
      <c r="E1108" s="45" t="s">
        <v>497</v>
      </c>
      <c r="F1108" s="13" t="s">
        <v>121</v>
      </c>
      <c r="G1108" s="14">
        <f t="shared" si="170"/>
        <v>323</v>
      </c>
      <c r="H1108" s="87">
        <f t="shared" si="170"/>
        <v>323</v>
      </c>
      <c r="I1108" s="14">
        <f t="shared" si="167"/>
        <v>0</v>
      </c>
      <c r="J1108" s="77">
        <f t="shared" si="168"/>
        <v>100</v>
      </c>
    </row>
    <row r="1109" spans="1:10" ht="12.75">
      <c r="A1109" s="46" t="s">
        <v>124</v>
      </c>
      <c r="B1109" s="12" t="s">
        <v>563</v>
      </c>
      <c r="C1109" s="13" t="s">
        <v>74</v>
      </c>
      <c r="D1109" s="13" t="s">
        <v>66</v>
      </c>
      <c r="E1109" s="45" t="s">
        <v>497</v>
      </c>
      <c r="F1109" s="13" t="s">
        <v>125</v>
      </c>
      <c r="G1109" s="14">
        <f>400-77</f>
        <v>323</v>
      </c>
      <c r="H1109" s="87">
        <v>323</v>
      </c>
      <c r="I1109" s="14">
        <f t="shared" si="167"/>
        <v>0</v>
      </c>
      <c r="J1109" s="77">
        <f t="shared" si="168"/>
        <v>100</v>
      </c>
    </row>
    <row r="1110" spans="1:10" ht="25.5">
      <c r="A1110" s="46" t="s">
        <v>361</v>
      </c>
      <c r="B1110" s="12" t="s">
        <v>563</v>
      </c>
      <c r="C1110" s="13" t="s">
        <v>74</v>
      </c>
      <c r="D1110" s="13" t="s">
        <v>66</v>
      </c>
      <c r="E1110" s="45" t="s">
        <v>206</v>
      </c>
      <c r="F1110" s="13"/>
      <c r="G1110" s="14">
        <f>G1111</f>
        <v>286.9</v>
      </c>
      <c r="H1110" s="87">
        <f>H1111</f>
        <v>283.7</v>
      </c>
      <c r="I1110" s="14">
        <f t="shared" si="167"/>
        <v>3.1999999999999886</v>
      </c>
      <c r="J1110" s="77">
        <f t="shared" si="168"/>
        <v>98.88462879051934</v>
      </c>
    </row>
    <row r="1111" spans="1:10" ht="25.5">
      <c r="A1111" s="46" t="s">
        <v>290</v>
      </c>
      <c r="B1111" s="12" t="s">
        <v>563</v>
      </c>
      <c r="C1111" s="13" t="s">
        <v>74</v>
      </c>
      <c r="D1111" s="13" t="s">
        <v>66</v>
      </c>
      <c r="E1111" s="45" t="s">
        <v>453</v>
      </c>
      <c r="F1111" s="13"/>
      <c r="G1111" s="14">
        <f>G1112+G1116+G1120+G1124</f>
        <v>286.9</v>
      </c>
      <c r="H1111" s="87">
        <f>H1112+H1116+H1120+H1124</f>
        <v>283.7</v>
      </c>
      <c r="I1111" s="14">
        <f t="shared" si="167"/>
        <v>3.1999999999999886</v>
      </c>
      <c r="J1111" s="77">
        <f t="shared" si="168"/>
        <v>98.88462879051934</v>
      </c>
    </row>
    <row r="1112" spans="1:10" ht="12.75">
      <c r="A1112" s="46" t="s">
        <v>205</v>
      </c>
      <c r="B1112" s="12" t="s">
        <v>563</v>
      </c>
      <c r="C1112" s="13" t="s">
        <v>74</v>
      </c>
      <c r="D1112" s="13" t="s">
        <v>66</v>
      </c>
      <c r="E1112" s="45" t="s">
        <v>454</v>
      </c>
      <c r="F1112" s="13"/>
      <c r="G1112" s="14">
        <f aca="true" t="shared" si="171" ref="G1112:H1114">G1113</f>
        <v>138.9</v>
      </c>
      <c r="H1112" s="87">
        <f t="shared" si="171"/>
        <v>135.7</v>
      </c>
      <c r="I1112" s="14">
        <f t="shared" si="167"/>
        <v>3.200000000000017</v>
      </c>
      <c r="J1112" s="77">
        <f t="shared" si="168"/>
        <v>97.69618430525556</v>
      </c>
    </row>
    <row r="1113" spans="1:10" ht="25.5">
      <c r="A1113" s="46" t="s">
        <v>114</v>
      </c>
      <c r="B1113" s="12" t="s">
        <v>563</v>
      </c>
      <c r="C1113" s="13" t="s">
        <v>74</v>
      </c>
      <c r="D1113" s="13" t="s">
        <v>66</v>
      </c>
      <c r="E1113" s="45" t="s">
        <v>454</v>
      </c>
      <c r="F1113" s="13" t="s">
        <v>115</v>
      </c>
      <c r="G1113" s="14">
        <f t="shared" si="171"/>
        <v>138.9</v>
      </c>
      <c r="H1113" s="87">
        <f t="shared" si="171"/>
        <v>135.7</v>
      </c>
      <c r="I1113" s="14">
        <f t="shared" si="167"/>
        <v>3.200000000000017</v>
      </c>
      <c r="J1113" s="77">
        <f t="shared" si="168"/>
        <v>97.69618430525556</v>
      </c>
    </row>
    <row r="1114" spans="1:10" ht="12.75">
      <c r="A1114" s="46" t="s">
        <v>120</v>
      </c>
      <c r="B1114" s="12" t="s">
        <v>563</v>
      </c>
      <c r="C1114" s="13" t="s">
        <v>74</v>
      </c>
      <c r="D1114" s="13" t="s">
        <v>66</v>
      </c>
      <c r="E1114" s="45" t="s">
        <v>454</v>
      </c>
      <c r="F1114" s="13" t="s">
        <v>121</v>
      </c>
      <c r="G1114" s="14">
        <f t="shared" si="171"/>
        <v>138.9</v>
      </c>
      <c r="H1114" s="87">
        <f t="shared" si="171"/>
        <v>135.7</v>
      </c>
      <c r="I1114" s="14">
        <f t="shared" si="167"/>
        <v>3.200000000000017</v>
      </c>
      <c r="J1114" s="77">
        <f t="shared" si="168"/>
        <v>97.69618430525556</v>
      </c>
    </row>
    <row r="1115" spans="1:10" ht="12.75">
      <c r="A1115" s="46" t="s">
        <v>124</v>
      </c>
      <c r="B1115" s="12" t="s">
        <v>563</v>
      </c>
      <c r="C1115" s="13" t="s">
        <v>74</v>
      </c>
      <c r="D1115" s="13" t="s">
        <v>66</v>
      </c>
      <c r="E1115" s="45" t="s">
        <v>454</v>
      </c>
      <c r="F1115" s="13" t="s">
        <v>125</v>
      </c>
      <c r="G1115" s="14">
        <f>150-11.1</f>
        <v>138.9</v>
      </c>
      <c r="H1115" s="87">
        <v>135.7</v>
      </c>
      <c r="I1115" s="14">
        <f t="shared" si="167"/>
        <v>3.200000000000017</v>
      </c>
      <c r="J1115" s="77">
        <f t="shared" si="168"/>
        <v>97.69618430525556</v>
      </c>
    </row>
    <row r="1116" spans="1:10" ht="12.75">
      <c r="A1116" s="46" t="s">
        <v>213</v>
      </c>
      <c r="B1116" s="12" t="s">
        <v>563</v>
      </c>
      <c r="C1116" s="13" t="s">
        <v>74</v>
      </c>
      <c r="D1116" s="13" t="s">
        <v>66</v>
      </c>
      <c r="E1116" s="45" t="s">
        <v>461</v>
      </c>
      <c r="F1116" s="13"/>
      <c r="G1116" s="14">
        <f aca="true" t="shared" si="172" ref="G1116:H1118">G1117</f>
        <v>130</v>
      </c>
      <c r="H1116" s="87">
        <f t="shared" si="172"/>
        <v>130</v>
      </c>
      <c r="I1116" s="14">
        <f t="shared" si="167"/>
        <v>0</v>
      </c>
      <c r="J1116" s="77">
        <f t="shared" si="168"/>
        <v>100</v>
      </c>
    </row>
    <row r="1117" spans="1:10" ht="25.5">
      <c r="A1117" s="46" t="s">
        <v>114</v>
      </c>
      <c r="B1117" s="12" t="s">
        <v>563</v>
      </c>
      <c r="C1117" s="13" t="s">
        <v>74</v>
      </c>
      <c r="D1117" s="13" t="s">
        <v>66</v>
      </c>
      <c r="E1117" s="45" t="s">
        <v>461</v>
      </c>
      <c r="F1117" s="13" t="s">
        <v>115</v>
      </c>
      <c r="G1117" s="14">
        <f t="shared" si="172"/>
        <v>130</v>
      </c>
      <c r="H1117" s="87">
        <f t="shared" si="172"/>
        <v>130</v>
      </c>
      <c r="I1117" s="14">
        <f t="shared" si="167"/>
        <v>0</v>
      </c>
      <c r="J1117" s="77">
        <f t="shared" si="168"/>
        <v>100</v>
      </c>
    </row>
    <row r="1118" spans="1:10" ht="12.75">
      <c r="A1118" s="46" t="s">
        <v>120</v>
      </c>
      <c r="B1118" s="12" t="s">
        <v>563</v>
      </c>
      <c r="C1118" s="13" t="s">
        <v>74</v>
      </c>
      <c r="D1118" s="13" t="s">
        <v>66</v>
      </c>
      <c r="E1118" s="45" t="s">
        <v>461</v>
      </c>
      <c r="F1118" s="13" t="s">
        <v>121</v>
      </c>
      <c r="G1118" s="14">
        <f t="shared" si="172"/>
        <v>130</v>
      </c>
      <c r="H1118" s="87">
        <f t="shared" si="172"/>
        <v>130</v>
      </c>
      <c r="I1118" s="14">
        <f t="shared" si="167"/>
        <v>0</v>
      </c>
      <c r="J1118" s="77">
        <f t="shared" si="168"/>
        <v>100</v>
      </c>
    </row>
    <row r="1119" spans="1:10" ht="12.75">
      <c r="A1119" s="46" t="s">
        <v>124</v>
      </c>
      <c r="B1119" s="12" t="s">
        <v>563</v>
      </c>
      <c r="C1119" s="13" t="s">
        <v>74</v>
      </c>
      <c r="D1119" s="13" t="s">
        <v>66</v>
      </c>
      <c r="E1119" s="45" t="s">
        <v>461</v>
      </c>
      <c r="F1119" s="13" t="s">
        <v>125</v>
      </c>
      <c r="G1119" s="14">
        <v>130</v>
      </c>
      <c r="H1119" s="87">
        <v>130</v>
      </c>
      <c r="I1119" s="14">
        <f t="shared" si="167"/>
        <v>0</v>
      </c>
      <c r="J1119" s="77">
        <f t="shared" si="168"/>
        <v>100</v>
      </c>
    </row>
    <row r="1120" spans="1:10" ht="12.75">
      <c r="A1120" s="46" t="s">
        <v>226</v>
      </c>
      <c r="B1120" s="12" t="s">
        <v>563</v>
      </c>
      <c r="C1120" s="13" t="s">
        <v>74</v>
      </c>
      <c r="D1120" s="13" t="s">
        <v>66</v>
      </c>
      <c r="E1120" s="45" t="s">
        <v>480</v>
      </c>
      <c r="F1120" s="13"/>
      <c r="G1120" s="14">
        <f aca="true" t="shared" si="173" ref="G1120:H1122">G1121</f>
        <v>4</v>
      </c>
      <c r="H1120" s="87">
        <f t="shared" si="173"/>
        <v>4</v>
      </c>
      <c r="I1120" s="14">
        <f t="shared" si="167"/>
        <v>0</v>
      </c>
      <c r="J1120" s="77">
        <f t="shared" si="168"/>
        <v>100</v>
      </c>
    </row>
    <row r="1121" spans="1:10" ht="25.5">
      <c r="A1121" s="46" t="s">
        <v>114</v>
      </c>
      <c r="B1121" s="12" t="s">
        <v>563</v>
      </c>
      <c r="C1121" s="13" t="s">
        <v>74</v>
      </c>
      <c r="D1121" s="13" t="s">
        <v>66</v>
      </c>
      <c r="E1121" s="45" t="s">
        <v>480</v>
      </c>
      <c r="F1121" s="13" t="s">
        <v>115</v>
      </c>
      <c r="G1121" s="14">
        <f t="shared" si="173"/>
        <v>4</v>
      </c>
      <c r="H1121" s="87">
        <f t="shared" si="173"/>
        <v>4</v>
      </c>
      <c r="I1121" s="14">
        <f t="shared" si="167"/>
        <v>0</v>
      </c>
      <c r="J1121" s="77">
        <f t="shared" si="168"/>
        <v>100</v>
      </c>
    </row>
    <row r="1122" spans="1:10" ht="12.75">
      <c r="A1122" s="46" t="s">
        <v>120</v>
      </c>
      <c r="B1122" s="12" t="s">
        <v>563</v>
      </c>
      <c r="C1122" s="13" t="s">
        <v>74</v>
      </c>
      <c r="D1122" s="13" t="s">
        <v>66</v>
      </c>
      <c r="E1122" s="45" t="s">
        <v>480</v>
      </c>
      <c r="F1122" s="13" t="s">
        <v>121</v>
      </c>
      <c r="G1122" s="14">
        <f t="shared" si="173"/>
        <v>4</v>
      </c>
      <c r="H1122" s="87">
        <f t="shared" si="173"/>
        <v>4</v>
      </c>
      <c r="I1122" s="14">
        <f t="shared" si="167"/>
        <v>0</v>
      </c>
      <c r="J1122" s="77">
        <f t="shared" si="168"/>
        <v>100</v>
      </c>
    </row>
    <row r="1123" spans="1:10" ht="12.75">
      <c r="A1123" s="46" t="s">
        <v>124</v>
      </c>
      <c r="B1123" s="12" t="s">
        <v>563</v>
      </c>
      <c r="C1123" s="13" t="s">
        <v>74</v>
      </c>
      <c r="D1123" s="13" t="s">
        <v>66</v>
      </c>
      <c r="E1123" s="45" t="s">
        <v>480</v>
      </c>
      <c r="F1123" s="13" t="s">
        <v>125</v>
      </c>
      <c r="G1123" s="14">
        <v>4</v>
      </c>
      <c r="H1123" s="87">
        <v>4</v>
      </c>
      <c r="I1123" s="14">
        <f t="shared" si="167"/>
        <v>0</v>
      </c>
      <c r="J1123" s="77">
        <f t="shared" si="168"/>
        <v>100</v>
      </c>
    </row>
    <row r="1124" spans="1:10" ht="27" customHeight="1">
      <c r="A1124" s="46" t="s">
        <v>207</v>
      </c>
      <c r="B1124" s="12" t="s">
        <v>563</v>
      </c>
      <c r="C1124" s="13" t="s">
        <v>74</v>
      </c>
      <c r="D1124" s="13" t="s">
        <v>66</v>
      </c>
      <c r="E1124" s="45" t="s">
        <v>456</v>
      </c>
      <c r="F1124" s="13"/>
      <c r="G1124" s="14">
        <f aca="true" t="shared" si="174" ref="G1124:H1126">G1125</f>
        <v>14</v>
      </c>
      <c r="H1124" s="87">
        <f t="shared" si="174"/>
        <v>14</v>
      </c>
      <c r="I1124" s="14">
        <f t="shared" si="167"/>
        <v>0</v>
      </c>
      <c r="J1124" s="77">
        <f t="shared" si="168"/>
        <v>100</v>
      </c>
    </row>
    <row r="1125" spans="1:10" ht="25.5">
      <c r="A1125" s="46" t="s">
        <v>114</v>
      </c>
      <c r="B1125" s="12" t="s">
        <v>563</v>
      </c>
      <c r="C1125" s="13" t="s">
        <v>74</v>
      </c>
      <c r="D1125" s="13" t="s">
        <v>66</v>
      </c>
      <c r="E1125" s="45" t="s">
        <v>456</v>
      </c>
      <c r="F1125" s="13" t="s">
        <v>115</v>
      </c>
      <c r="G1125" s="14">
        <f t="shared" si="174"/>
        <v>14</v>
      </c>
      <c r="H1125" s="87">
        <f t="shared" si="174"/>
        <v>14</v>
      </c>
      <c r="I1125" s="14">
        <f t="shared" si="167"/>
        <v>0</v>
      </c>
      <c r="J1125" s="77">
        <f t="shared" si="168"/>
        <v>100</v>
      </c>
    </row>
    <row r="1126" spans="1:10" ht="12.75">
      <c r="A1126" s="46" t="s">
        <v>120</v>
      </c>
      <c r="B1126" s="12" t="s">
        <v>563</v>
      </c>
      <c r="C1126" s="13" t="s">
        <v>74</v>
      </c>
      <c r="D1126" s="13" t="s">
        <v>66</v>
      </c>
      <c r="E1126" s="45" t="s">
        <v>456</v>
      </c>
      <c r="F1126" s="13" t="s">
        <v>121</v>
      </c>
      <c r="G1126" s="14">
        <f t="shared" si="174"/>
        <v>14</v>
      </c>
      <c r="H1126" s="87">
        <f t="shared" si="174"/>
        <v>14</v>
      </c>
      <c r="I1126" s="14">
        <f t="shared" si="167"/>
        <v>0</v>
      </c>
      <c r="J1126" s="77">
        <f t="shared" si="168"/>
        <v>100</v>
      </c>
    </row>
    <row r="1127" spans="1:10" ht="12.75">
      <c r="A1127" s="46" t="s">
        <v>124</v>
      </c>
      <c r="B1127" s="12" t="s">
        <v>563</v>
      </c>
      <c r="C1127" s="13" t="s">
        <v>74</v>
      </c>
      <c r="D1127" s="13" t="s">
        <v>66</v>
      </c>
      <c r="E1127" s="45" t="s">
        <v>456</v>
      </c>
      <c r="F1127" s="13" t="s">
        <v>125</v>
      </c>
      <c r="G1127" s="14">
        <v>14</v>
      </c>
      <c r="H1127" s="87">
        <v>14</v>
      </c>
      <c r="I1127" s="14">
        <f t="shared" si="167"/>
        <v>0</v>
      </c>
      <c r="J1127" s="77">
        <f t="shared" si="168"/>
        <v>100</v>
      </c>
    </row>
    <row r="1128" spans="1:10" ht="12.75">
      <c r="A1128" s="46" t="s">
        <v>503</v>
      </c>
      <c r="B1128" s="12" t="s">
        <v>563</v>
      </c>
      <c r="C1128" s="13" t="s">
        <v>74</v>
      </c>
      <c r="D1128" s="13" t="s">
        <v>66</v>
      </c>
      <c r="E1128" s="13" t="s">
        <v>252</v>
      </c>
      <c r="F1128" s="13"/>
      <c r="G1128" s="14">
        <f>G1129</f>
        <v>398.7</v>
      </c>
      <c r="H1128" s="87">
        <f>H1129</f>
        <v>370.8</v>
      </c>
      <c r="I1128" s="14">
        <f t="shared" si="167"/>
        <v>27.899999999999977</v>
      </c>
      <c r="J1128" s="77">
        <f t="shared" si="168"/>
        <v>93.00225733634312</v>
      </c>
    </row>
    <row r="1129" spans="1:10" ht="12.75">
      <c r="A1129" s="46" t="s">
        <v>504</v>
      </c>
      <c r="B1129" s="12" t="s">
        <v>563</v>
      </c>
      <c r="C1129" s="13" t="s">
        <v>74</v>
      </c>
      <c r="D1129" s="13" t="s">
        <v>66</v>
      </c>
      <c r="E1129" s="13" t="s">
        <v>501</v>
      </c>
      <c r="F1129" s="13"/>
      <c r="G1129" s="14">
        <f>G1130+G1134</f>
        <v>398.7</v>
      </c>
      <c r="H1129" s="87">
        <f>H1130+H1134</f>
        <v>370.8</v>
      </c>
      <c r="I1129" s="14">
        <f t="shared" si="167"/>
        <v>27.899999999999977</v>
      </c>
      <c r="J1129" s="77">
        <f t="shared" si="168"/>
        <v>93.00225733634312</v>
      </c>
    </row>
    <row r="1130" spans="1:10" ht="51">
      <c r="A1130" s="46" t="s">
        <v>381</v>
      </c>
      <c r="B1130" s="12" t="s">
        <v>563</v>
      </c>
      <c r="C1130" s="13" t="s">
        <v>74</v>
      </c>
      <c r="D1130" s="13" t="s">
        <v>66</v>
      </c>
      <c r="E1130" s="13" t="s">
        <v>502</v>
      </c>
      <c r="F1130" s="13"/>
      <c r="G1130" s="14">
        <f aca="true" t="shared" si="175" ref="G1130:H1132">G1131</f>
        <v>346.4</v>
      </c>
      <c r="H1130" s="87">
        <f t="shared" si="175"/>
        <v>318.5</v>
      </c>
      <c r="I1130" s="14">
        <f t="shared" si="167"/>
        <v>27.899999999999977</v>
      </c>
      <c r="J1130" s="77">
        <f t="shared" si="168"/>
        <v>91.94572748267899</v>
      </c>
    </row>
    <row r="1131" spans="1:10" ht="25.5">
      <c r="A1131" s="46" t="s">
        <v>114</v>
      </c>
      <c r="B1131" s="12" t="s">
        <v>563</v>
      </c>
      <c r="C1131" s="13" t="s">
        <v>74</v>
      </c>
      <c r="D1131" s="13" t="s">
        <v>66</v>
      </c>
      <c r="E1131" s="13" t="s">
        <v>502</v>
      </c>
      <c r="F1131" s="13" t="s">
        <v>115</v>
      </c>
      <c r="G1131" s="14">
        <f t="shared" si="175"/>
        <v>346.4</v>
      </c>
      <c r="H1131" s="87">
        <f t="shared" si="175"/>
        <v>318.5</v>
      </c>
      <c r="I1131" s="14">
        <f t="shared" si="167"/>
        <v>27.899999999999977</v>
      </c>
      <c r="J1131" s="77">
        <f t="shared" si="168"/>
        <v>91.94572748267899</v>
      </c>
    </row>
    <row r="1132" spans="1:10" ht="12.75">
      <c r="A1132" s="46" t="s">
        <v>120</v>
      </c>
      <c r="B1132" s="12" t="s">
        <v>563</v>
      </c>
      <c r="C1132" s="13" t="s">
        <v>74</v>
      </c>
      <c r="D1132" s="13" t="s">
        <v>66</v>
      </c>
      <c r="E1132" s="13" t="s">
        <v>502</v>
      </c>
      <c r="F1132" s="13" t="s">
        <v>121</v>
      </c>
      <c r="G1132" s="14">
        <f t="shared" si="175"/>
        <v>346.4</v>
      </c>
      <c r="H1132" s="87">
        <f t="shared" si="175"/>
        <v>318.5</v>
      </c>
      <c r="I1132" s="14">
        <f t="shared" si="167"/>
        <v>27.899999999999977</v>
      </c>
      <c r="J1132" s="77">
        <f t="shared" si="168"/>
        <v>91.94572748267899</v>
      </c>
    </row>
    <row r="1133" spans="1:10" ht="12.75">
      <c r="A1133" s="46" t="s">
        <v>124</v>
      </c>
      <c r="B1133" s="12" t="s">
        <v>563</v>
      </c>
      <c r="C1133" s="13" t="s">
        <v>74</v>
      </c>
      <c r="D1133" s="13" t="s">
        <v>66</v>
      </c>
      <c r="E1133" s="13" t="s">
        <v>502</v>
      </c>
      <c r="F1133" s="13" t="s">
        <v>125</v>
      </c>
      <c r="G1133" s="14">
        <f>300-10+60-3.6</f>
        <v>346.4</v>
      </c>
      <c r="H1133" s="87">
        <v>318.5</v>
      </c>
      <c r="I1133" s="14">
        <f t="shared" si="167"/>
        <v>27.899999999999977</v>
      </c>
      <c r="J1133" s="77">
        <f t="shared" si="168"/>
        <v>91.94572748267899</v>
      </c>
    </row>
    <row r="1134" spans="1:10" ht="12.75">
      <c r="A1134" s="46" t="s">
        <v>272</v>
      </c>
      <c r="B1134" s="12" t="s">
        <v>563</v>
      </c>
      <c r="C1134" s="13" t="s">
        <v>74</v>
      </c>
      <c r="D1134" s="13" t="s">
        <v>66</v>
      </c>
      <c r="E1134" s="13" t="s">
        <v>505</v>
      </c>
      <c r="F1134" s="13"/>
      <c r="G1134" s="14">
        <f aca="true" t="shared" si="176" ref="G1134:H1136">G1135</f>
        <v>52.3</v>
      </c>
      <c r="H1134" s="87">
        <f t="shared" si="176"/>
        <v>52.3</v>
      </c>
      <c r="I1134" s="14">
        <f t="shared" si="167"/>
        <v>0</v>
      </c>
      <c r="J1134" s="77">
        <f t="shared" si="168"/>
        <v>100</v>
      </c>
    </row>
    <row r="1135" spans="1:10" ht="25.5">
      <c r="A1135" s="46" t="s">
        <v>114</v>
      </c>
      <c r="B1135" s="12" t="s">
        <v>563</v>
      </c>
      <c r="C1135" s="13" t="s">
        <v>74</v>
      </c>
      <c r="D1135" s="13" t="s">
        <v>66</v>
      </c>
      <c r="E1135" s="13" t="s">
        <v>505</v>
      </c>
      <c r="F1135" s="13" t="s">
        <v>115</v>
      </c>
      <c r="G1135" s="14">
        <f t="shared" si="176"/>
        <v>52.3</v>
      </c>
      <c r="H1135" s="87">
        <f t="shared" si="176"/>
        <v>52.3</v>
      </c>
      <c r="I1135" s="14">
        <f t="shared" si="167"/>
        <v>0</v>
      </c>
      <c r="J1135" s="77">
        <f t="shared" si="168"/>
        <v>100</v>
      </c>
    </row>
    <row r="1136" spans="1:10" ht="12.75">
      <c r="A1136" s="46" t="s">
        <v>120</v>
      </c>
      <c r="B1136" s="12" t="s">
        <v>563</v>
      </c>
      <c r="C1136" s="13" t="s">
        <v>74</v>
      </c>
      <c r="D1136" s="13" t="s">
        <v>66</v>
      </c>
      <c r="E1136" s="13" t="s">
        <v>505</v>
      </c>
      <c r="F1136" s="13" t="s">
        <v>121</v>
      </c>
      <c r="G1136" s="14">
        <f t="shared" si="176"/>
        <v>52.3</v>
      </c>
      <c r="H1136" s="87">
        <f t="shared" si="176"/>
        <v>52.3</v>
      </c>
      <c r="I1136" s="14">
        <f t="shared" si="167"/>
        <v>0</v>
      </c>
      <c r="J1136" s="77">
        <f t="shared" si="168"/>
        <v>100</v>
      </c>
    </row>
    <row r="1137" spans="1:10" ht="12.75">
      <c r="A1137" s="46" t="s">
        <v>124</v>
      </c>
      <c r="B1137" s="12" t="s">
        <v>563</v>
      </c>
      <c r="C1137" s="13" t="s">
        <v>74</v>
      </c>
      <c r="D1137" s="13" t="s">
        <v>66</v>
      </c>
      <c r="E1137" s="13" t="s">
        <v>505</v>
      </c>
      <c r="F1137" s="13" t="s">
        <v>125</v>
      </c>
      <c r="G1137" s="14">
        <f>1+10-2+43.3</f>
        <v>52.3</v>
      </c>
      <c r="H1137" s="87">
        <v>52.3</v>
      </c>
      <c r="I1137" s="14">
        <f t="shared" si="167"/>
        <v>0</v>
      </c>
      <c r="J1137" s="77">
        <f t="shared" si="168"/>
        <v>100</v>
      </c>
    </row>
    <row r="1138" spans="1:10" ht="12.75">
      <c r="A1138" s="46" t="s">
        <v>29</v>
      </c>
      <c r="B1138" s="12" t="s">
        <v>563</v>
      </c>
      <c r="C1138" s="13" t="s">
        <v>74</v>
      </c>
      <c r="D1138" s="13" t="s">
        <v>66</v>
      </c>
      <c r="E1138" s="13" t="s">
        <v>269</v>
      </c>
      <c r="F1138" s="13"/>
      <c r="G1138" s="14">
        <f aca="true" t="shared" si="177" ref="G1138:H1141">G1139</f>
        <v>8726.1</v>
      </c>
      <c r="H1138" s="87">
        <f t="shared" si="177"/>
        <v>8723.1</v>
      </c>
      <c r="I1138" s="14">
        <f t="shared" si="167"/>
        <v>3</v>
      </c>
      <c r="J1138" s="77">
        <f t="shared" si="168"/>
        <v>99.96562038023859</v>
      </c>
    </row>
    <row r="1139" spans="1:10" ht="25.5">
      <c r="A1139" s="46" t="s">
        <v>289</v>
      </c>
      <c r="B1139" s="12" t="s">
        <v>563</v>
      </c>
      <c r="C1139" s="13" t="s">
        <v>74</v>
      </c>
      <c r="D1139" s="13" t="s">
        <v>66</v>
      </c>
      <c r="E1139" s="13" t="s">
        <v>528</v>
      </c>
      <c r="F1139" s="13"/>
      <c r="G1139" s="14">
        <f t="shared" si="177"/>
        <v>8726.1</v>
      </c>
      <c r="H1139" s="87">
        <f t="shared" si="177"/>
        <v>8723.1</v>
      </c>
      <c r="I1139" s="14">
        <f t="shared" si="167"/>
        <v>3</v>
      </c>
      <c r="J1139" s="77">
        <f t="shared" si="168"/>
        <v>99.96562038023859</v>
      </c>
    </row>
    <row r="1140" spans="1:10" ht="12.75">
      <c r="A1140" s="46" t="s">
        <v>288</v>
      </c>
      <c r="B1140" s="12" t="s">
        <v>563</v>
      </c>
      <c r="C1140" s="13" t="s">
        <v>74</v>
      </c>
      <c r="D1140" s="13" t="s">
        <v>66</v>
      </c>
      <c r="E1140" s="13" t="s">
        <v>529</v>
      </c>
      <c r="F1140" s="13"/>
      <c r="G1140" s="14">
        <f t="shared" si="177"/>
        <v>8726.1</v>
      </c>
      <c r="H1140" s="87">
        <f t="shared" si="177"/>
        <v>8723.1</v>
      </c>
      <c r="I1140" s="14">
        <f t="shared" si="167"/>
        <v>3</v>
      </c>
      <c r="J1140" s="77">
        <f t="shared" si="168"/>
        <v>99.96562038023859</v>
      </c>
    </row>
    <row r="1141" spans="1:10" ht="25.5">
      <c r="A1141" s="46" t="s">
        <v>114</v>
      </c>
      <c r="B1141" s="12" t="s">
        <v>563</v>
      </c>
      <c r="C1141" s="13" t="s">
        <v>74</v>
      </c>
      <c r="D1141" s="13" t="s">
        <v>66</v>
      </c>
      <c r="E1141" s="13" t="s">
        <v>529</v>
      </c>
      <c r="F1141" s="13" t="s">
        <v>115</v>
      </c>
      <c r="G1141" s="14">
        <f t="shared" si="177"/>
        <v>8726.1</v>
      </c>
      <c r="H1141" s="87">
        <f t="shared" si="177"/>
        <v>8723.1</v>
      </c>
      <c r="I1141" s="14">
        <f t="shared" si="167"/>
        <v>3</v>
      </c>
      <c r="J1141" s="77">
        <f t="shared" si="168"/>
        <v>99.96562038023859</v>
      </c>
    </row>
    <row r="1142" spans="1:10" ht="12.75">
      <c r="A1142" s="46" t="s">
        <v>120</v>
      </c>
      <c r="B1142" s="12" t="s">
        <v>563</v>
      </c>
      <c r="C1142" s="13" t="s">
        <v>74</v>
      </c>
      <c r="D1142" s="13" t="s">
        <v>66</v>
      </c>
      <c r="E1142" s="13" t="s">
        <v>529</v>
      </c>
      <c r="F1142" s="13" t="s">
        <v>121</v>
      </c>
      <c r="G1142" s="14">
        <f>G1143+G1144</f>
        <v>8726.1</v>
      </c>
      <c r="H1142" s="87">
        <f>H1143+H1144</f>
        <v>8723.1</v>
      </c>
      <c r="I1142" s="14">
        <f t="shared" si="167"/>
        <v>3</v>
      </c>
      <c r="J1142" s="77">
        <f t="shared" si="168"/>
        <v>99.96562038023859</v>
      </c>
    </row>
    <row r="1143" spans="1:10" ht="40.5" customHeight="1">
      <c r="A1143" s="46" t="s">
        <v>122</v>
      </c>
      <c r="B1143" s="12" t="s">
        <v>563</v>
      </c>
      <c r="C1143" s="13" t="s">
        <v>74</v>
      </c>
      <c r="D1143" s="13" t="s">
        <v>66</v>
      </c>
      <c r="E1143" s="13" t="s">
        <v>529</v>
      </c>
      <c r="F1143" s="13" t="s">
        <v>123</v>
      </c>
      <c r="G1143" s="14">
        <f>7984.7+291.7+100+192.7</f>
        <v>8569.1</v>
      </c>
      <c r="H1143" s="87">
        <v>8569.1</v>
      </c>
      <c r="I1143" s="14">
        <f t="shared" si="167"/>
        <v>0</v>
      </c>
      <c r="J1143" s="77">
        <f t="shared" si="168"/>
        <v>100</v>
      </c>
    </row>
    <row r="1144" spans="1:10" ht="21.75" customHeight="1">
      <c r="A1144" s="46" t="s">
        <v>124</v>
      </c>
      <c r="B1144" s="12" t="s">
        <v>563</v>
      </c>
      <c r="C1144" s="13" t="s">
        <v>74</v>
      </c>
      <c r="D1144" s="13" t="s">
        <v>66</v>
      </c>
      <c r="E1144" s="13" t="s">
        <v>529</v>
      </c>
      <c r="F1144" s="13" t="s">
        <v>125</v>
      </c>
      <c r="G1144" s="14">
        <f>150+154-147</f>
        <v>157</v>
      </c>
      <c r="H1144" s="87">
        <v>154</v>
      </c>
      <c r="I1144" s="14">
        <f t="shared" si="167"/>
        <v>3</v>
      </c>
      <c r="J1144" s="77">
        <f t="shared" si="168"/>
        <v>98.08917197452229</v>
      </c>
    </row>
    <row r="1145" spans="1:10" ht="21" customHeight="1">
      <c r="A1145" s="46" t="s">
        <v>30</v>
      </c>
      <c r="B1145" s="12" t="s">
        <v>563</v>
      </c>
      <c r="C1145" s="13" t="s">
        <v>74</v>
      </c>
      <c r="D1145" s="13" t="s">
        <v>66</v>
      </c>
      <c r="E1145" s="13" t="s">
        <v>268</v>
      </c>
      <c r="F1145" s="13"/>
      <c r="G1145" s="14">
        <f aca="true" t="shared" si="178" ref="G1145:H1148">G1146</f>
        <v>100</v>
      </c>
      <c r="H1145" s="87">
        <f t="shared" si="178"/>
        <v>100</v>
      </c>
      <c r="I1145" s="14">
        <f t="shared" si="167"/>
        <v>0</v>
      </c>
      <c r="J1145" s="77">
        <f t="shared" si="168"/>
        <v>100</v>
      </c>
    </row>
    <row r="1146" spans="1:10" ht="12.75">
      <c r="A1146" s="46" t="s">
        <v>530</v>
      </c>
      <c r="B1146" s="12" t="s">
        <v>563</v>
      </c>
      <c r="C1146" s="13" t="s">
        <v>74</v>
      </c>
      <c r="D1146" s="13" t="s">
        <v>66</v>
      </c>
      <c r="E1146" s="13" t="s">
        <v>556</v>
      </c>
      <c r="F1146" s="13"/>
      <c r="G1146" s="14">
        <f t="shared" si="178"/>
        <v>100</v>
      </c>
      <c r="H1146" s="87">
        <f t="shared" si="178"/>
        <v>100</v>
      </c>
      <c r="I1146" s="14">
        <f t="shared" si="167"/>
        <v>0</v>
      </c>
      <c r="J1146" s="77">
        <f t="shared" si="168"/>
        <v>100</v>
      </c>
    </row>
    <row r="1147" spans="1:10" ht="25.5">
      <c r="A1147" s="46" t="s">
        <v>114</v>
      </c>
      <c r="B1147" s="12" t="s">
        <v>563</v>
      </c>
      <c r="C1147" s="13" t="s">
        <v>74</v>
      </c>
      <c r="D1147" s="13" t="s">
        <v>66</v>
      </c>
      <c r="E1147" s="13" t="s">
        <v>556</v>
      </c>
      <c r="F1147" s="13" t="s">
        <v>115</v>
      </c>
      <c r="G1147" s="14">
        <f t="shared" si="178"/>
        <v>100</v>
      </c>
      <c r="H1147" s="87">
        <f t="shared" si="178"/>
        <v>100</v>
      </c>
      <c r="I1147" s="14">
        <f t="shared" si="167"/>
        <v>0</v>
      </c>
      <c r="J1147" s="77">
        <f t="shared" si="168"/>
        <v>100</v>
      </c>
    </row>
    <row r="1148" spans="1:10" ht="12.75">
      <c r="A1148" s="46" t="s">
        <v>120</v>
      </c>
      <c r="B1148" s="12" t="s">
        <v>563</v>
      </c>
      <c r="C1148" s="13" t="s">
        <v>74</v>
      </c>
      <c r="D1148" s="13" t="s">
        <v>66</v>
      </c>
      <c r="E1148" s="13" t="s">
        <v>556</v>
      </c>
      <c r="F1148" s="13" t="s">
        <v>121</v>
      </c>
      <c r="G1148" s="14">
        <f t="shared" si="178"/>
        <v>100</v>
      </c>
      <c r="H1148" s="87">
        <f t="shared" si="178"/>
        <v>100</v>
      </c>
      <c r="I1148" s="14">
        <f t="shared" si="167"/>
        <v>0</v>
      </c>
      <c r="J1148" s="77">
        <f t="shared" si="168"/>
        <v>100</v>
      </c>
    </row>
    <row r="1149" spans="1:10" ht="12.75">
      <c r="A1149" s="46" t="s">
        <v>124</v>
      </c>
      <c r="B1149" s="12" t="s">
        <v>563</v>
      </c>
      <c r="C1149" s="13" t="s">
        <v>74</v>
      </c>
      <c r="D1149" s="13" t="s">
        <v>66</v>
      </c>
      <c r="E1149" s="13" t="s">
        <v>556</v>
      </c>
      <c r="F1149" s="13" t="s">
        <v>125</v>
      </c>
      <c r="G1149" s="14">
        <v>100</v>
      </c>
      <c r="H1149" s="87">
        <v>100</v>
      </c>
      <c r="I1149" s="14">
        <f t="shared" si="167"/>
        <v>0</v>
      </c>
      <c r="J1149" s="77">
        <f t="shared" si="168"/>
        <v>100</v>
      </c>
    </row>
    <row r="1150" spans="1:19" s="58" customFormat="1" ht="30.75" customHeight="1">
      <c r="A1150" s="60" t="s">
        <v>587</v>
      </c>
      <c r="B1150" s="37" t="s">
        <v>564</v>
      </c>
      <c r="C1150" s="29"/>
      <c r="D1150" s="29"/>
      <c r="E1150" s="29"/>
      <c r="F1150" s="29"/>
      <c r="G1150" s="30">
        <f>G1151+G1177+G1270</f>
        <v>91057.2</v>
      </c>
      <c r="H1150" s="105">
        <f>H1151+H1177+H1270</f>
        <v>89459.49999999999</v>
      </c>
      <c r="I1150" s="30">
        <f t="shared" si="167"/>
        <v>1597.7000000000116</v>
      </c>
      <c r="J1150" s="82">
        <f t="shared" si="168"/>
        <v>98.24538861287189</v>
      </c>
      <c r="K1150" s="102"/>
      <c r="L1150" s="197"/>
      <c r="M1150" s="197"/>
      <c r="N1150" s="197"/>
      <c r="O1150" s="197"/>
      <c r="P1150" s="197"/>
      <c r="Q1150" s="197"/>
      <c r="R1150" s="197"/>
      <c r="S1150" s="197"/>
    </row>
    <row r="1151" spans="1:19" s="58" customFormat="1" ht="15" customHeight="1">
      <c r="A1151" s="60" t="s">
        <v>247</v>
      </c>
      <c r="B1151" s="37" t="s">
        <v>564</v>
      </c>
      <c r="C1151" s="37" t="s">
        <v>68</v>
      </c>
      <c r="D1151" s="37" t="s">
        <v>36</v>
      </c>
      <c r="E1151" s="29"/>
      <c r="F1151" s="29"/>
      <c r="G1151" s="30">
        <f>G1163+G1152</f>
        <v>4388.8</v>
      </c>
      <c r="H1151" s="105">
        <f>H1163+H1152</f>
        <v>4260.4</v>
      </c>
      <c r="I1151" s="30">
        <f t="shared" si="167"/>
        <v>128.40000000000055</v>
      </c>
      <c r="J1151" s="82">
        <f t="shared" si="168"/>
        <v>97.0743711265038</v>
      </c>
      <c r="K1151" s="102"/>
      <c r="L1151" s="197"/>
      <c r="M1151" s="197"/>
      <c r="N1151" s="197"/>
      <c r="O1151" s="197"/>
      <c r="P1151" s="197"/>
      <c r="Q1151" s="197"/>
      <c r="R1151" s="197"/>
      <c r="S1151" s="197"/>
    </row>
    <row r="1152" spans="1:19" s="58" customFormat="1" ht="15" customHeight="1">
      <c r="A1152" s="8" t="s">
        <v>579</v>
      </c>
      <c r="B1152" s="37" t="s">
        <v>564</v>
      </c>
      <c r="C1152" s="37" t="s">
        <v>68</v>
      </c>
      <c r="D1152" s="37" t="s">
        <v>76</v>
      </c>
      <c r="E1152" s="29"/>
      <c r="F1152" s="29"/>
      <c r="G1152" s="30">
        <f>G1153</f>
        <v>445</v>
      </c>
      <c r="H1152" s="105">
        <f>H1153</f>
        <v>445</v>
      </c>
      <c r="I1152" s="30">
        <f t="shared" si="167"/>
        <v>0</v>
      </c>
      <c r="J1152" s="82">
        <f t="shared" si="168"/>
        <v>100</v>
      </c>
      <c r="K1152" s="102"/>
      <c r="L1152" s="197"/>
      <c r="M1152" s="197"/>
      <c r="N1152" s="197"/>
      <c r="O1152" s="197"/>
      <c r="P1152" s="197"/>
      <c r="Q1152" s="197"/>
      <c r="R1152" s="197"/>
      <c r="S1152" s="197"/>
    </row>
    <row r="1153" spans="1:19" s="58" customFormat="1" ht="26.25" customHeight="1">
      <c r="A1153" s="9" t="s">
        <v>684</v>
      </c>
      <c r="B1153" s="12" t="s">
        <v>564</v>
      </c>
      <c r="C1153" s="12" t="s">
        <v>68</v>
      </c>
      <c r="D1153" s="12" t="s">
        <v>76</v>
      </c>
      <c r="E1153" s="13" t="s">
        <v>685</v>
      </c>
      <c r="F1153" s="29"/>
      <c r="G1153" s="14">
        <f>G1154</f>
        <v>445</v>
      </c>
      <c r="H1153" s="87">
        <f>H1154</f>
        <v>445</v>
      </c>
      <c r="I1153" s="14">
        <f t="shared" si="167"/>
        <v>0</v>
      </c>
      <c r="J1153" s="77">
        <f t="shared" si="168"/>
        <v>100</v>
      </c>
      <c r="K1153" s="102"/>
      <c r="L1153" s="197"/>
      <c r="M1153" s="197"/>
      <c r="N1153" s="197"/>
      <c r="O1153" s="197"/>
      <c r="P1153" s="197"/>
      <c r="Q1153" s="197"/>
      <c r="R1153" s="197"/>
      <c r="S1153" s="197"/>
    </row>
    <row r="1154" spans="1:19" s="58" customFormat="1" ht="26.25" customHeight="1">
      <c r="A1154" s="9" t="s">
        <v>686</v>
      </c>
      <c r="B1154" s="12" t="s">
        <v>564</v>
      </c>
      <c r="C1154" s="12" t="s">
        <v>68</v>
      </c>
      <c r="D1154" s="12" t="s">
        <v>76</v>
      </c>
      <c r="E1154" s="13" t="s">
        <v>687</v>
      </c>
      <c r="F1154" s="29"/>
      <c r="G1154" s="14">
        <f>G1155+G1159</f>
        <v>445</v>
      </c>
      <c r="H1154" s="87">
        <f>H1155+H1159</f>
        <v>445</v>
      </c>
      <c r="I1154" s="14">
        <f t="shared" si="167"/>
        <v>0</v>
      </c>
      <c r="J1154" s="77">
        <f t="shared" si="168"/>
        <v>100</v>
      </c>
      <c r="K1154" s="102"/>
      <c r="L1154" s="197"/>
      <c r="M1154" s="197"/>
      <c r="N1154" s="197"/>
      <c r="O1154" s="197"/>
      <c r="P1154" s="197"/>
      <c r="Q1154" s="197"/>
      <c r="R1154" s="197"/>
      <c r="S1154" s="197"/>
    </row>
    <row r="1155" spans="1:19" s="58" customFormat="1" ht="40.5" customHeight="1">
      <c r="A1155" s="9" t="s">
        <v>688</v>
      </c>
      <c r="B1155" s="12" t="s">
        <v>564</v>
      </c>
      <c r="C1155" s="12" t="s">
        <v>68</v>
      </c>
      <c r="D1155" s="12" t="s">
        <v>76</v>
      </c>
      <c r="E1155" s="13" t="s">
        <v>689</v>
      </c>
      <c r="F1155" s="29"/>
      <c r="G1155" s="14">
        <f aca="true" t="shared" si="179" ref="G1155:H1157">G1156</f>
        <v>429</v>
      </c>
      <c r="H1155" s="87">
        <f t="shared" si="179"/>
        <v>429</v>
      </c>
      <c r="I1155" s="14">
        <f t="shared" si="167"/>
        <v>0</v>
      </c>
      <c r="J1155" s="77">
        <f t="shared" si="168"/>
        <v>100</v>
      </c>
      <c r="K1155" s="102"/>
      <c r="L1155" s="197"/>
      <c r="M1155" s="197"/>
      <c r="N1155" s="197"/>
      <c r="O1155" s="197"/>
      <c r="P1155" s="197"/>
      <c r="Q1155" s="197"/>
      <c r="R1155" s="197"/>
      <c r="S1155" s="197"/>
    </row>
    <row r="1156" spans="1:19" s="58" customFormat="1" ht="15" customHeight="1">
      <c r="A1156" s="46" t="s">
        <v>770</v>
      </c>
      <c r="B1156" s="12" t="s">
        <v>564</v>
      </c>
      <c r="C1156" s="12" t="s">
        <v>68</v>
      </c>
      <c r="D1156" s="12" t="s">
        <v>76</v>
      </c>
      <c r="E1156" s="13" t="s">
        <v>689</v>
      </c>
      <c r="F1156" s="13" t="s">
        <v>113</v>
      </c>
      <c r="G1156" s="14">
        <f t="shared" si="179"/>
        <v>429</v>
      </c>
      <c r="H1156" s="87">
        <f t="shared" si="179"/>
        <v>429</v>
      </c>
      <c r="I1156" s="14">
        <f t="shared" si="167"/>
        <v>0</v>
      </c>
      <c r="J1156" s="77">
        <f t="shared" si="168"/>
        <v>100</v>
      </c>
      <c r="K1156" s="102"/>
      <c r="L1156" s="197"/>
      <c r="M1156" s="197"/>
      <c r="N1156" s="197"/>
      <c r="O1156" s="197"/>
      <c r="P1156" s="197"/>
      <c r="Q1156" s="197"/>
      <c r="R1156" s="197"/>
      <c r="S1156" s="197"/>
    </row>
    <row r="1157" spans="1:19" s="58" customFormat="1" ht="30" customHeight="1">
      <c r="A1157" s="9" t="s">
        <v>106</v>
      </c>
      <c r="B1157" s="12" t="s">
        <v>564</v>
      </c>
      <c r="C1157" s="12" t="s">
        <v>68</v>
      </c>
      <c r="D1157" s="12" t="s">
        <v>76</v>
      </c>
      <c r="E1157" s="13" t="s">
        <v>689</v>
      </c>
      <c r="F1157" s="13" t="s">
        <v>107</v>
      </c>
      <c r="G1157" s="14">
        <f t="shared" si="179"/>
        <v>429</v>
      </c>
      <c r="H1157" s="87">
        <f t="shared" si="179"/>
        <v>429</v>
      </c>
      <c r="I1157" s="14">
        <f t="shared" si="167"/>
        <v>0</v>
      </c>
      <c r="J1157" s="77">
        <f t="shared" si="168"/>
        <v>100</v>
      </c>
      <c r="K1157" s="102"/>
      <c r="L1157" s="197"/>
      <c r="M1157" s="197"/>
      <c r="N1157" s="197"/>
      <c r="O1157" s="197"/>
      <c r="P1157" s="197"/>
      <c r="Q1157" s="197"/>
      <c r="R1157" s="197"/>
      <c r="S1157" s="197"/>
    </row>
    <row r="1158" spans="1:19" s="58" customFormat="1" ht="28.5" customHeight="1">
      <c r="A1158" s="9" t="s">
        <v>108</v>
      </c>
      <c r="B1158" s="12" t="s">
        <v>564</v>
      </c>
      <c r="C1158" s="12" t="s">
        <v>68</v>
      </c>
      <c r="D1158" s="12" t="s">
        <v>76</v>
      </c>
      <c r="E1158" s="13" t="s">
        <v>689</v>
      </c>
      <c r="F1158" s="13" t="s">
        <v>109</v>
      </c>
      <c r="G1158" s="14">
        <f>540-111</f>
        <v>429</v>
      </c>
      <c r="H1158" s="87">
        <v>429</v>
      </c>
      <c r="I1158" s="14">
        <f t="shared" si="167"/>
        <v>0</v>
      </c>
      <c r="J1158" s="77">
        <f t="shared" si="168"/>
        <v>100</v>
      </c>
      <c r="K1158" s="102"/>
      <c r="L1158" s="197"/>
      <c r="M1158" s="197"/>
      <c r="N1158" s="197"/>
      <c r="O1158" s="197"/>
      <c r="P1158" s="197"/>
      <c r="Q1158" s="197"/>
      <c r="R1158" s="197"/>
      <c r="S1158" s="197"/>
    </row>
    <row r="1159" spans="1:19" s="58" customFormat="1" ht="30" customHeight="1">
      <c r="A1159" s="9" t="s">
        <v>690</v>
      </c>
      <c r="B1159" s="12" t="s">
        <v>564</v>
      </c>
      <c r="C1159" s="12" t="s">
        <v>68</v>
      </c>
      <c r="D1159" s="12" t="s">
        <v>76</v>
      </c>
      <c r="E1159" s="13" t="s">
        <v>691</v>
      </c>
      <c r="F1159" s="29"/>
      <c r="G1159" s="14">
        <f aca="true" t="shared" si="180" ref="G1159:H1161">G1160</f>
        <v>16</v>
      </c>
      <c r="H1159" s="87">
        <f t="shared" si="180"/>
        <v>16</v>
      </c>
      <c r="I1159" s="14">
        <f t="shared" si="167"/>
        <v>0</v>
      </c>
      <c r="J1159" s="77">
        <f t="shared" si="168"/>
        <v>100</v>
      </c>
      <c r="K1159" s="102"/>
      <c r="L1159" s="197"/>
      <c r="M1159" s="197"/>
      <c r="N1159" s="197"/>
      <c r="O1159" s="197"/>
      <c r="P1159" s="197"/>
      <c r="Q1159" s="197"/>
      <c r="R1159" s="197"/>
      <c r="S1159" s="197"/>
    </row>
    <row r="1160" spans="1:19" s="58" customFormat="1" ht="15" customHeight="1">
      <c r="A1160" s="46" t="s">
        <v>770</v>
      </c>
      <c r="B1160" s="12" t="s">
        <v>564</v>
      </c>
      <c r="C1160" s="12" t="s">
        <v>68</v>
      </c>
      <c r="D1160" s="12" t="s">
        <v>76</v>
      </c>
      <c r="E1160" s="13" t="s">
        <v>691</v>
      </c>
      <c r="F1160" s="13" t="s">
        <v>113</v>
      </c>
      <c r="G1160" s="14">
        <f t="shared" si="180"/>
        <v>16</v>
      </c>
      <c r="H1160" s="87">
        <f t="shared" si="180"/>
        <v>16</v>
      </c>
      <c r="I1160" s="14">
        <f t="shared" si="167"/>
        <v>0</v>
      </c>
      <c r="J1160" s="77">
        <f t="shared" si="168"/>
        <v>100</v>
      </c>
      <c r="K1160" s="102"/>
      <c r="L1160" s="197"/>
      <c r="M1160" s="197"/>
      <c r="N1160" s="197"/>
      <c r="O1160" s="197"/>
      <c r="P1160" s="197"/>
      <c r="Q1160" s="197"/>
      <c r="R1160" s="197"/>
      <c r="S1160" s="197"/>
    </row>
    <row r="1161" spans="1:19" s="58" customFormat="1" ht="23.25" customHeight="1">
      <c r="A1161" s="9" t="s">
        <v>106</v>
      </c>
      <c r="B1161" s="12" t="s">
        <v>564</v>
      </c>
      <c r="C1161" s="12" t="s">
        <v>68</v>
      </c>
      <c r="D1161" s="12" t="s">
        <v>76</v>
      </c>
      <c r="E1161" s="13" t="s">
        <v>691</v>
      </c>
      <c r="F1161" s="13" t="s">
        <v>107</v>
      </c>
      <c r="G1161" s="14">
        <f t="shared" si="180"/>
        <v>16</v>
      </c>
      <c r="H1161" s="87">
        <f t="shared" si="180"/>
        <v>16</v>
      </c>
      <c r="I1161" s="14">
        <f t="shared" si="167"/>
        <v>0</v>
      </c>
      <c r="J1161" s="77">
        <f t="shared" si="168"/>
        <v>100</v>
      </c>
      <c r="K1161" s="102"/>
      <c r="L1161" s="197"/>
      <c r="M1161" s="197"/>
      <c r="N1161" s="197"/>
      <c r="O1161" s="197"/>
      <c r="P1161" s="197"/>
      <c r="Q1161" s="197"/>
      <c r="R1161" s="197"/>
      <c r="S1161" s="197"/>
    </row>
    <row r="1162" spans="1:19" s="58" customFormat="1" ht="24.75" customHeight="1">
      <c r="A1162" s="9" t="s">
        <v>108</v>
      </c>
      <c r="B1162" s="12" t="s">
        <v>564</v>
      </c>
      <c r="C1162" s="12" t="s">
        <v>68</v>
      </c>
      <c r="D1162" s="12" t="s">
        <v>76</v>
      </c>
      <c r="E1162" s="13" t="s">
        <v>691</v>
      </c>
      <c r="F1162" s="13" t="s">
        <v>109</v>
      </c>
      <c r="G1162" s="14">
        <v>16</v>
      </c>
      <c r="H1162" s="87">
        <v>16</v>
      </c>
      <c r="I1162" s="14">
        <f aca="true" t="shared" si="181" ref="I1162:I1225">G1162-H1162</f>
        <v>0</v>
      </c>
      <c r="J1162" s="77">
        <f aca="true" t="shared" si="182" ref="J1162:J1225">H1162/G1162*100</f>
        <v>100</v>
      </c>
      <c r="K1162" s="102"/>
      <c r="L1162" s="197"/>
      <c r="M1162" s="197"/>
      <c r="N1162" s="197"/>
      <c r="O1162" s="197"/>
      <c r="P1162" s="197"/>
      <c r="Q1162" s="197"/>
      <c r="R1162" s="197"/>
      <c r="S1162" s="197"/>
    </row>
    <row r="1163" spans="1:19" s="58" customFormat="1" ht="16.5" customHeight="1">
      <c r="A1163" s="60" t="s">
        <v>84</v>
      </c>
      <c r="B1163" s="37" t="s">
        <v>564</v>
      </c>
      <c r="C1163" s="37" t="s">
        <v>68</v>
      </c>
      <c r="D1163" s="37" t="s">
        <v>75</v>
      </c>
      <c r="E1163" s="29"/>
      <c r="F1163" s="29"/>
      <c r="G1163" s="30">
        <f>G1170+G1164</f>
        <v>3943.8</v>
      </c>
      <c r="H1163" s="105">
        <f>H1170+H1164</f>
        <v>3815.4</v>
      </c>
      <c r="I1163" s="30">
        <f t="shared" si="181"/>
        <v>128.4000000000001</v>
      </c>
      <c r="J1163" s="82">
        <f t="shared" si="182"/>
        <v>96.74425680815457</v>
      </c>
      <c r="K1163" s="102"/>
      <c r="L1163" s="197"/>
      <c r="M1163" s="197"/>
      <c r="N1163" s="197"/>
      <c r="O1163" s="197"/>
      <c r="P1163" s="197"/>
      <c r="Q1163" s="197"/>
      <c r="R1163" s="197"/>
      <c r="S1163" s="197"/>
    </row>
    <row r="1164" spans="1:19" s="58" customFormat="1" ht="30" customHeight="1">
      <c r="A1164" s="25" t="s">
        <v>630</v>
      </c>
      <c r="B1164" s="12" t="s">
        <v>564</v>
      </c>
      <c r="C1164" s="13" t="s">
        <v>68</v>
      </c>
      <c r="D1164" s="13" t="s">
        <v>75</v>
      </c>
      <c r="E1164" s="45" t="s">
        <v>654</v>
      </c>
      <c r="F1164" s="13"/>
      <c r="G1164" s="14">
        <f aca="true" t="shared" si="183" ref="G1164:H1168">G1165</f>
        <v>3357.8</v>
      </c>
      <c r="H1164" s="87">
        <f t="shared" si="183"/>
        <v>3357.8</v>
      </c>
      <c r="I1164" s="14">
        <f t="shared" si="181"/>
        <v>0</v>
      </c>
      <c r="J1164" s="77">
        <f t="shared" si="182"/>
        <v>100</v>
      </c>
      <c r="K1164" s="102"/>
      <c r="L1164" s="197"/>
      <c r="M1164" s="197"/>
      <c r="N1164" s="197"/>
      <c r="O1164" s="197"/>
      <c r="P1164" s="197"/>
      <c r="Q1164" s="197"/>
      <c r="R1164" s="197"/>
      <c r="S1164" s="197"/>
    </row>
    <row r="1165" spans="1:19" s="58" customFormat="1" ht="16.5" customHeight="1">
      <c r="A1165" s="25" t="s">
        <v>372</v>
      </c>
      <c r="B1165" s="12" t="s">
        <v>564</v>
      </c>
      <c r="C1165" s="13" t="s">
        <v>68</v>
      </c>
      <c r="D1165" s="13" t="s">
        <v>75</v>
      </c>
      <c r="E1165" s="45" t="s">
        <v>655</v>
      </c>
      <c r="F1165" s="13"/>
      <c r="G1165" s="14">
        <f t="shared" si="183"/>
        <v>3357.8</v>
      </c>
      <c r="H1165" s="87">
        <f t="shared" si="183"/>
        <v>3357.8</v>
      </c>
      <c r="I1165" s="14">
        <f t="shared" si="181"/>
        <v>0</v>
      </c>
      <c r="J1165" s="77">
        <f t="shared" si="182"/>
        <v>100</v>
      </c>
      <c r="K1165" s="102"/>
      <c r="L1165" s="197"/>
      <c r="M1165" s="197"/>
      <c r="N1165" s="197"/>
      <c r="O1165" s="197"/>
      <c r="P1165" s="197"/>
      <c r="Q1165" s="197"/>
      <c r="R1165" s="197"/>
      <c r="S1165" s="197"/>
    </row>
    <row r="1166" spans="1:19" s="58" customFormat="1" ht="26.25" customHeight="1">
      <c r="A1166" s="25" t="s">
        <v>631</v>
      </c>
      <c r="B1166" s="12" t="s">
        <v>564</v>
      </c>
      <c r="C1166" s="13" t="s">
        <v>68</v>
      </c>
      <c r="D1166" s="13" t="s">
        <v>75</v>
      </c>
      <c r="E1166" s="45" t="s">
        <v>656</v>
      </c>
      <c r="F1166" s="13"/>
      <c r="G1166" s="14">
        <f t="shared" si="183"/>
        <v>3357.8</v>
      </c>
      <c r="H1166" s="87">
        <f t="shared" si="183"/>
        <v>3357.8</v>
      </c>
      <c r="I1166" s="14">
        <f t="shared" si="181"/>
        <v>0</v>
      </c>
      <c r="J1166" s="77">
        <f t="shared" si="182"/>
        <v>100</v>
      </c>
      <c r="K1166" s="102"/>
      <c r="L1166" s="197"/>
      <c r="M1166" s="197"/>
      <c r="N1166" s="197"/>
      <c r="O1166" s="197"/>
      <c r="P1166" s="197"/>
      <c r="Q1166" s="197"/>
      <c r="R1166" s="197"/>
      <c r="S1166" s="197"/>
    </row>
    <row r="1167" spans="1:19" s="58" customFormat="1" ht="16.5" customHeight="1">
      <c r="A1167" s="46" t="s">
        <v>770</v>
      </c>
      <c r="B1167" s="12" t="s">
        <v>564</v>
      </c>
      <c r="C1167" s="13" t="s">
        <v>68</v>
      </c>
      <c r="D1167" s="13" t="s">
        <v>75</v>
      </c>
      <c r="E1167" s="45" t="s">
        <v>656</v>
      </c>
      <c r="F1167" s="13" t="s">
        <v>113</v>
      </c>
      <c r="G1167" s="14">
        <f t="shared" si="183"/>
        <v>3357.8</v>
      </c>
      <c r="H1167" s="87">
        <f t="shared" si="183"/>
        <v>3357.8</v>
      </c>
      <c r="I1167" s="14">
        <f t="shared" si="181"/>
        <v>0</v>
      </c>
      <c r="J1167" s="77">
        <f t="shared" si="182"/>
        <v>100</v>
      </c>
      <c r="K1167" s="102"/>
      <c r="L1167" s="197"/>
      <c r="M1167" s="197"/>
      <c r="N1167" s="197"/>
      <c r="O1167" s="197"/>
      <c r="P1167" s="197"/>
      <c r="Q1167" s="197"/>
      <c r="R1167" s="197"/>
      <c r="S1167" s="197"/>
    </row>
    <row r="1168" spans="1:19" s="58" customFormat="1" ht="23.25" customHeight="1">
      <c r="A1168" s="9" t="s">
        <v>106</v>
      </c>
      <c r="B1168" s="12" t="s">
        <v>564</v>
      </c>
      <c r="C1168" s="13" t="s">
        <v>68</v>
      </c>
      <c r="D1168" s="13" t="s">
        <v>75</v>
      </c>
      <c r="E1168" s="45" t="s">
        <v>656</v>
      </c>
      <c r="F1168" s="13" t="s">
        <v>107</v>
      </c>
      <c r="G1168" s="14">
        <f t="shared" si="183"/>
        <v>3357.8</v>
      </c>
      <c r="H1168" s="87">
        <f t="shared" si="183"/>
        <v>3357.8</v>
      </c>
      <c r="I1168" s="14">
        <f t="shared" si="181"/>
        <v>0</v>
      </c>
      <c r="J1168" s="77">
        <f t="shared" si="182"/>
        <v>100</v>
      </c>
      <c r="K1168" s="102"/>
      <c r="L1168" s="197"/>
      <c r="M1168" s="197"/>
      <c r="N1168" s="197"/>
      <c r="O1168" s="197"/>
      <c r="P1168" s="197"/>
      <c r="Q1168" s="197"/>
      <c r="R1168" s="197"/>
      <c r="S1168" s="197"/>
    </row>
    <row r="1169" spans="1:19" s="58" customFormat="1" ht="29.25" customHeight="1">
      <c r="A1169" s="9" t="s">
        <v>108</v>
      </c>
      <c r="B1169" s="12" t="s">
        <v>564</v>
      </c>
      <c r="C1169" s="13" t="s">
        <v>68</v>
      </c>
      <c r="D1169" s="13" t="s">
        <v>75</v>
      </c>
      <c r="E1169" s="45" t="s">
        <v>656</v>
      </c>
      <c r="F1169" s="13" t="s">
        <v>109</v>
      </c>
      <c r="G1169" s="14">
        <f>4316.6-958.8</f>
        <v>3357.8</v>
      </c>
      <c r="H1169" s="87">
        <v>3357.8</v>
      </c>
      <c r="I1169" s="14">
        <f t="shared" si="181"/>
        <v>0</v>
      </c>
      <c r="J1169" s="77">
        <f t="shared" si="182"/>
        <v>100</v>
      </c>
      <c r="K1169" s="102"/>
      <c r="L1169" s="197"/>
      <c r="M1169" s="197"/>
      <c r="N1169" s="197"/>
      <c r="O1169" s="197"/>
      <c r="P1169" s="197"/>
      <c r="Q1169" s="197"/>
      <c r="R1169" s="197"/>
      <c r="S1169" s="197"/>
    </row>
    <row r="1170" spans="1:19" s="58" customFormat="1" ht="16.5" customHeight="1">
      <c r="A1170" s="46" t="s">
        <v>248</v>
      </c>
      <c r="B1170" s="12" t="s">
        <v>564</v>
      </c>
      <c r="C1170" s="12" t="s">
        <v>68</v>
      </c>
      <c r="D1170" s="12" t="s">
        <v>75</v>
      </c>
      <c r="E1170" s="13" t="s">
        <v>255</v>
      </c>
      <c r="F1170" s="29"/>
      <c r="G1170" s="14">
        <f>G1171</f>
        <v>586.0000000000001</v>
      </c>
      <c r="H1170" s="87">
        <f>H1171</f>
        <v>457.59999999999997</v>
      </c>
      <c r="I1170" s="14">
        <f t="shared" si="181"/>
        <v>128.40000000000015</v>
      </c>
      <c r="J1170" s="77">
        <f t="shared" si="182"/>
        <v>78.08873720136516</v>
      </c>
      <c r="K1170" s="102"/>
      <c r="L1170" s="197"/>
      <c r="M1170" s="197"/>
      <c r="N1170" s="197"/>
      <c r="O1170" s="197"/>
      <c r="P1170" s="197"/>
      <c r="Q1170" s="197"/>
      <c r="R1170" s="197"/>
      <c r="S1170" s="197"/>
    </row>
    <row r="1171" spans="1:19" s="58" customFormat="1" ht="16.5" customHeight="1">
      <c r="A1171" s="46" t="s">
        <v>542</v>
      </c>
      <c r="B1171" s="12" t="s">
        <v>564</v>
      </c>
      <c r="C1171" s="12" t="s">
        <v>68</v>
      </c>
      <c r="D1171" s="12" t="s">
        <v>75</v>
      </c>
      <c r="E1171" s="13" t="s">
        <v>543</v>
      </c>
      <c r="F1171" s="29"/>
      <c r="G1171" s="14">
        <f>G1175+G1172</f>
        <v>586.0000000000001</v>
      </c>
      <c r="H1171" s="87">
        <f>H1175+H1172</f>
        <v>457.59999999999997</v>
      </c>
      <c r="I1171" s="14">
        <f t="shared" si="181"/>
        <v>128.40000000000015</v>
      </c>
      <c r="J1171" s="77">
        <f t="shared" si="182"/>
        <v>78.08873720136516</v>
      </c>
      <c r="K1171" s="102"/>
      <c r="L1171" s="197"/>
      <c r="M1171" s="197"/>
      <c r="N1171" s="197"/>
      <c r="O1171" s="197"/>
      <c r="P1171" s="197"/>
      <c r="Q1171" s="197"/>
      <c r="R1171" s="197"/>
      <c r="S1171" s="197"/>
    </row>
    <row r="1172" spans="1:10" ht="16.5" customHeight="1">
      <c r="A1172" s="46" t="s">
        <v>770</v>
      </c>
      <c r="B1172" s="12" t="s">
        <v>564</v>
      </c>
      <c r="C1172" s="12" t="s">
        <v>68</v>
      </c>
      <c r="D1172" s="12" t="s">
        <v>75</v>
      </c>
      <c r="E1172" s="13" t="s">
        <v>543</v>
      </c>
      <c r="F1172" s="13" t="s">
        <v>113</v>
      </c>
      <c r="G1172" s="14">
        <f>G1173</f>
        <v>400</v>
      </c>
      <c r="H1172" s="87">
        <f>H1173</f>
        <v>271.9</v>
      </c>
      <c r="I1172" s="14">
        <f t="shared" si="181"/>
        <v>128.10000000000002</v>
      </c>
      <c r="J1172" s="77">
        <f t="shared" si="182"/>
        <v>67.975</v>
      </c>
    </row>
    <row r="1173" spans="1:10" ht="30" customHeight="1">
      <c r="A1173" s="9" t="s">
        <v>106</v>
      </c>
      <c r="B1173" s="12" t="s">
        <v>564</v>
      </c>
      <c r="C1173" s="12" t="s">
        <v>68</v>
      </c>
      <c r="D1173" s="12" t="s">
        <v>75</v>
      </c>
      <c r="E1173" s="13" t="s">
        <v>543</v>
      </c>
      <c r="F1173" s="13" t="s">
        <v>107</v>
      </c>
      <c r="G1173" s="14">
        <f>G1174</f>
        <v>400</v>
      </c>
      <c r="H1173" s="87">
        <f>H1174</f>
        <v>271.9</v>
      </c>
      <c r="I1173" s="14">
        <f t="shared" si="181"/>
        <v>128.10000000000002</v>
      </c>
      <c r="J1173" s="77">
        <f t="shared" si="182"/>
        <v>67.975</v>
      </c>
    </row>
    <row r="1174" spans="1:10" ht="25.5" customHeight="1">
      <c r="A1174" s="9" t="s">
        <v>108</v>
      </c>
      <c r="B1174" s="12" t="s">
        <v>564</v>
      </c>
      <c r="C1174" s="12" t="s">
        <v>68</v>
      </c>
      <c r="D1174" s="12" t="s">
        <v>75</v>
      </c>
      <c r="E1174" s="13" t="s">
        <v>543</v>
      </c>
      <c r="F1174" s="13" t="s">
        <v>109</v>
      </c>
      <c r="G1174" s="14">
        <f>889.4-489.4</f>
        <v>400</v>
      </c>
      <c r="H1174" s="87">
        <v>271.9</v>
      </c>
      <c r="I1174" s="14">
        <f t="shared" si="181"/>
        <v>128.10000000000002</v>
      </c>
      <c r="J1174" s="77">
        <f t="shared" si="182"/>
        <v>67.975</v>
      </c>
    </row>
    <row r="1175" spans="1:19" s="58" customFormat="1" ht="16.5" customHeight="1">
      <c r="A1175" s="46" t="s">
        <v>137</v>
      </c>
      <c r="B1175" s="12" t="s">
        <v>564</v>
      </c>
      <c r="C1175" s="12" t="s">
        <v>68</v>
      </c>
      <c r="D1175" s="12" t="s">
        <v>75</v>
      </c>
      <c r="E1175" s="13" t="s">
        <v>543</v>
      </c>
      <c r="F1175" s="13" t="s">
        <v>138</v>
      </c>
      <c r="G1175" s="14">
        <f>G1176</f>
        <v>186.0000000000001</v>
      </c>
      <c r="H1175" s="87">
        <f>H1176</f>
        <v>185.7</v>
      </c>
      <c r="I1175" s="14">
        <f t="shared" si="181"/>
        <v>0.30000000000012506</v>
      </c>
      <c r="J1175" s="77">
        <f t="shared" si="182"/>
        <v>99.83870967741929</v>
      </c>
      <c r="K1175" s="102"/>
      <c r="L1175" s="197"/>
      <c r="M1175" s="197"/>
      <c r="N1175" s="197"/>
      <c r="O1175" s="197"/>
      <c r="P1175" s="197"/>
      <c r="Q1175" s="197"/>
      <c r="R1175" s="197"/>
      <c r="S1175" s="197"/>
    </row>
    <row r="1176" spans="1:19" s="58" customFormat="1" ht="28.5" customHeight="1">
      <c r="A1176" s="46" t="s">
        <v>182</v>
      </c>
      <c r="B1176" s="12" t="s">
        <v>564</v>
      </c>
      <c r="C1176" s="12" t="s">
        <v>68</v>
      </c>
      <c r="D1176" s="12" t="s">
        <v>75</v>
      </c>
      <c r="E1176" s="13" t="s">
        <v>543</v>
      </c>
      <c r="F1176" s="13" t="s">
        <v>139</v>
      </c>
      <c r="G1176" s="14">
        <f>1075.4-889.4</f>
        <v>186.0000000000001</v>
      </c>
      <c r="H1176" s="87">
        <v>185.7</v>
      </c>
      <c r="I1176" s="14">
        <f t="shared" si="181"/>
        <v>0.30000000000012506</v>
      </c>
      <c r="J1176" s="77">
        <f t="shared" si="182"/>
        <v>99.83870967741929</v>
      </c>
      <c r="K1176" s="102"/>
      <c r="L1176" s="197"/>
      <c r="M1176" s="197"/>
      <c r="N1176" s="197"/>
      <c r="O1176" s="197"/>
      <c r="P1176" s="197"/>
      <c r="Q1176" s="197"/>
      <c r="R1176" s="197"/>
      <c r="S1176" s="197"/>
    </row>
    <row r="1177" spans="1:10" ht="17.25" customHeight="1">
      <c r="A1177" s="60" t="s">
        <v>377</v>
      </c>
      <c r="B1177" s="37" t="s">
        <v>564</v>
      </c>
      <c r="C1177" s="37" t="s">
        <v>72</v>
      </c>
      <c r="D1177" s="37" t="s">
        <v>36</v>
      </c>
      <c r="E1177" s="13"/>
      <c r="F1177" s="13"/>
      <c r="G1177" s="30">
        <f>G1178+G1203+G1239</f>
        <v>82267.7</v>
      </c>
      <c r="H1177" s="105">
        <f>H1178+H1203+H1239</f>
        <v>80798.49999999999</v>
      </c>
      <c r="I1177" s="30">
        <f t="shared" si="181"/>
        <v>1469.2000000000116</v>
      </c>
      <c r="J1177" s="82">
        <f t="shared" si="182"/>
        <v>98.21412291822912</v>
      </c>
    </row>
    <row r="1178" spans="1:10" ht="18" customHeight="1">
      <c r="A1178" s="60" t="s">
        <v>161</v>
      </c>
      <c r="B1178" s="37" t="s">
        <v>564</v>
      </c>
      <c r="C1178" s="37" t="s">
        <v>72</v>
      </c>
      <c r="D1178" s="37" t="s">
        <v>66</v>
      </c>
      <c r="E1178" s="29"/>
      <c r="F1178" s="29"/>
      <c r="G1178" s="30">
        <f>G1190+G1179+G1184</f>
        <v>45543.299999999996</v>
      </c>
      <c r="H1178" s="105">
        <f>H1190+H1179+H1184</f>
        <v>44507.2</v>
      </c>
      <c r="I1178" s="30">
        <f t="shared" si="181"/>
        <v>1036.0999999999985</v>
      </c>
      <c r="J1178" s="82">
        <f t="shared" si="182"/>
        <v>97.72502212180497</v>
      </c>
    </row>
    <row r="1179" spans="1:10" ht="69.75" customHeight="1">
      <c r="A1179" s="46" t="s">
        <v>590</v>
      </c>
      <c r="B1179" s="12" t="s">
        <v>564</v>
      </c>
      <c r="C1179" s="12" t="s">
        <v>72</v>
      </c>
      <c r="D1179" s="12" t="s">
        <v>66</v>
      </c>
      <c r="E1179" s="13" t="s">
        <v>588</v>
      </c>
      <c r="F1179" s="29"/>
      <c r="G1179" s="14">
        <f aca="true" t="shared" si="184" ref="G1179:H1182">G1180</f>
        <v>37902.799999999996</v>
      </c>
      <c r="H1179" s="87">
        <f t="shared" si="184"/>
        <v>37902.7</v>
      </c>
      <c r="I1179" s="14">
        <f t="shared" si="181"/>
        <v>0.09999999999854481</v>
      </c>
      <c r="J1179" s="77">
        <f t="shared" si="182"/>
        <v>99.99973616724887</v>
      </c>
    </row>
    <row r="1180" spans="1:10" ht="45" customHeight="1">
      <c r="A1180" s="66" t="s">
        <v>595</v>
      </c>
      <c r="B1180" s="12" t="s">
        <v>564</v>
      </c>
      <c r="C1180" s="12" t="s">
        <v>72</v>
      </c>
      <c r="D1180" s="12" t="s">
        <v>66</v>
      </c>
      <c r="E1180" s="13" t="s">
        <v>589</v>
      </c>
      <c r="F1180" s="29"/>
      <c r="G1180" s="14">
        <f t="shared" si="184"/>
        <v>37902.799999999996</v>
      </c>
      <c r="H1180" s="87">
        <f t="shared" si="184"/>
        <v>37902.7</v>
      </c>
      <c r="I1180" s="14">
        <f t="shared" si="181"/>
        <v>0.09999999999854481</v>
      </c>
      <c r="J1180" s="77">
        <f t="shared" si="182"/>
        <v>99.99973616724887</v>
      </c>
    </row>
    <row r="1181" spans="1:10" ht="18" customHeight="1">
      <c r="A1181" s="9" t="s">
        <v>632</v>
      </c>
      <c r="B1181" s="12" t="s">
        <v>564</v>
      </c>
      <c r="C1181" s="12" t="s">
        <v>72</v>
      </c>
      <c r="D1181" s="12" t="s">
        <v>66</v>
      </c>
      <c r="E1181" s="13" t="s">
        <v>589</v>
      </c>
      <c r="F1181" s="13" t="s">
        <v>634</v>
      </c>
      <c r="G1181" s="14">
        <f t="shared" si="184"/>
        <v>37902.799999999996</v>
      </c>
      <c r="H1181" s="87">
        <f t="shared" si="184"/>
        <v>37902.7</v>
      </c>
      <c r="I1181" s="14">
        <f t="shared" si="181"/>
        <v>0.09999999999854481</v>
      </c>
      <c r="J1181" s="77">
        <f t="shared" si="182"/>
        <v>99.99973616724887</v>
      </c>
    </row>
    <row r="1182" spans="1:10" ht="21" customHeight="1">
      <c r="A1182" s="9" t="s">
        <v>633</v>
      </c>
      <c r="B1182" s="12" t="s">
        <v>564</v>
      </c>
      <c r="C1182" s="12" t="s">
        <v>72</v>
      </c>
      <c r="D1182" s="12" t="s">
        <v>66</v>
      </c>
      <c r="E1182" s="13" t="s">
        <v>589</v>
      </c>
      <c r="F1182" s="13" t="s">
        <v>635</v>
      </c>
      <c r="G1182" s="14">
        <f t="shared" si="184"/>
        <v>37902.799999999996</v>
      </c>
      <c r="H1182" s="87">
        <f t="shared" si="184"/>
        <v>37902.7</v>
      </c>
      <c r="I1182" s="14">
        <f t="shared" si="181"/>
        <v>0.09999999999854481</v>
      </c>
      <c r="J1182" s="77">
        <f t="shared" si="182"/>
        <v>99.99973616724887</v>
      </c>
    </row>
    <row r="1183" spans="1:10" ht="25.5" customHeight="1">
      <c r="A1183" s="9" t="s">
        <v>733</v>
      </c>
      <c r="B1183" s="12" t="s">
        <v>564</v>
      </c>
      <c r="C1183" s="12" t="s">
        <v>72</v>
      </c>
      <c r="D1183" s="12" t="s">
        <v>66</v>
      </c>
      <c r="E1183" s="13" t="s">
        <v>589</v>
      </c>
      <c r="F1183" s="13" t="s">
        <v>636</v>
      </c>
      <c r="G1183" s="14">
        <f>42262.1-5168.4+809.1</f>
        <v>37902.799999999996</v>
      </c>
      <c r="H1183" s="87">
        <v>37902.7</v>
      </c>
      <c r="I1183" s="14">
        <f t="shared" si="181"/>
        <v>0.09999999999854481</v>
      </c>
      <c r="J1183" s="77">
        <f t="shared" si="182"/>
        <v>99.99973616724887</v>
      </c>
    </row>
    <row r="1184" spans="1:10" ht="39.75" customHeight="1">
      <c r="A1184" s="25" t="s">
        <v>357</v>
      </c>
      <c r="B1184" s="12" t="s">
        <v>564</v>
      </c>
      <c r="C1184" s="12" t="s">
        <v>72</v>
      </c>
      <c r="D1184" s="12" t="s">
        <v>66</v>
      </c>
      <c r="E1184" s="45" t="s">
        <v>191</v>
      </c>
      <c r="F1184" s="13"/>
      <c r="G1184" s="77">
        <f aca="true" t="shared" si="185" ref="G1184:H1188">G1185</f>
        <v>990.3</v>
      </c>
      <c r="H1184" s="109">
        <f t="shared" si="185"/>
        <v>339</v>
      </c>
      <c r="I1184" s="14">
        <f t="shared" si="181"/>
        <v>651.3</v>
      </c>
      <c r="J1184" s="77">
        <f t="shared" si="182"/>
        <v>34.232050893668585</v>
      </c>
    </row>
    <row r="1185" spans="1:10" ht="30" customHeight="1">
      <c r="A1185" s="25" t="s">
        <v>347</v>
      </c>
      <c r="B1185" s="12" t="s">
        <v>564</v>
      </c>
      <c r="C1185" s="12" t="s">
        <v>72</v>
      </c>
      <c r="D1185" s="12" t="s">
        <v>66</v>
      </c>
      <c r="E1185" s="45" t="s">
        <v>441</v>
      </c>
      <c r="F1185" s="13"/>
      <c r="G1185" s="77">
        <f t="shared" si="185"/>
        <v>990.3</v>
      </c>
      <c r="H1185" s="109">
        <f t="shared" si="185"/>
        <v>339</v>
      </c>
      <c r="I1185" s="14">
        <f t="shared" si="181"/>
        <v>651.3</v>
      </c>
      <c r="J1185" s="77">
        <f t="shared" si="182"/>
        <v>34.232050893668585</v>
      </c>
    </row>
    <row r="1186" spans="1:10" ht="19.5" customHeight="1">
      <c r="A1186" s="9" t="s">
        <v>755</v>
      </c>
      <c r="B1186" s="12" t="s">
        <v>564</v>
      </c>
      <c r="C1186" s="12" t="s">
        <v>72</v>
      </c>
      <c r="D1186" s="12" t="s">
        <v>66</v>
      </c>
      <c r="E1186" s="45" t="s">
        <v>756</v>
      </c>
      <c r="F1186" s="13"/>
      <c r="G1186" s="77">
        <f t="shared" si="185"/>
        <v>990.3</v>
      </c>
      <c r="H1186" s="109">
        <f t="shared" si="185"/>
        <v>339</v>
      </c>
      <c r="I1186" s="14">
        <f t="shared" si="181"/>
        <v>651.3</v>
      </c>
      <c r="J1186" s="77">
        <f t="shared" si="182"/>
        <v>34.232050893668585</v>
      </c>
    </row>
    <row r="1187" spans="1:10" ht="15.75" customHeight="1">
      <c r="A1187" s="46" t="s">
        <v>770</v>
      </c>
      <c r="B1187" s="12" t="s">
        <v>564</v>
      </c>
      <c r="C1187" s="12" t="s">
        <v>72</v>
      </c>
      <c r="D1187" s="12" t="s">
        <v>66</v>
      </c>
      <c r="E1187" s="45" t="s">
        <v>756</v>
      </c>
      <c r="F1187" s="13" t="s">
        <v>113</v>
      </c>
      <c r="G1187" s="77">
        <f t="shared" si="185"/>
        <v>990.3</v>
      </c>
      <c r="H1187" s="109">
        <f t="shared" si="185"/>
        <v>339</v>
      </c>
      <c r="I1187" s="14">
        <f t="shared" si="181"/>
        <v>651.3</v>
      </c>
      <c r="J1187" s="77">
        <f t="shared" si="182"/>
        <v>34.232050893668585</v>
      </c>
    </row>
    <row r="1188" spans="1:10" ht="30" customHeight="1">
      <c r="A1188" s="9" t="s">
        <v>106</v>
      </c>
      <c r="B1188" s="12" t="s">
        <v>564</v>
      </c>
      <c r="C1188" s="12" t="s">
        <v>72</v>
      </c>
      <c r="D1188" s="12" t="s">
        <v>66</v>
      </c>
      <c r="E1188" s="45" t="s">
        <v>756</v>
      </c>
      <c r="F1188" s="13" t="s">
        <v>107</v>
      </c>
      <c r="G1188" s="77">
        <f t="shared" si="185"/>
        <v>990.3</v>
      </c>
      <c r="H1188" s="109">
        <f t="shared" si="185"/>
        <v>339</v>
      </c>
      <c r="I1188" s="14">
        <f t="shared" si="181"/>
        <v>651.3</v>
      </c>
      <c r="J1188" s="77">
        <f t="shared" si="182"/>
        <v>34.232050893668585</v>
      </c>
    </row>
    <row r="1189" spans="1:10" ht="30" customHeight="1">
      <c r="A1189" s="9" t="s">
        <v>108</v>
      </c>
      <c r="B1189" s="12" t="s">
        <v>564</v>
      </c>
      <c r="C1189" s="12" t="s">
        <v>72</v>
      </c>
      <c r="D1189" s="12" t="s">
        <v>66</v>
      </c>
      <c r="E1189" s="45" t="s">
        <v>756</v>
      </c>
      <c r="F1189" s="13" t="s">
        <v>109</v>
      </c>
      <c r="G1189" s="77">
        <f>990.3</f>
        <v>990.3</v>
      </c>
      <c r="H1189" s="109">
        <v>339</v>
      </c>
      <c r="I1189" s="14">
        <f t="shared" si="181"/>
        <v>651.3</v>
      </c>
      <c r="J1189" s="77">
        <f t="shared" si="182"/>
        <v>34.232050893668585</v>
      </c>
    </row>
    <row r="1190" spans="1:10" ht="18" customHeight="1">
      <c r="A1190" s="46" t="s">
        <v>242</v>
      </c>
      <c r="B1190" s="12" t="s">
        <v>564</v>
      </c>
      <c r="C1190" s="12" t="s">
        <v>72</v>
      </c>
      <c r="D1190" s="12" t="s">
        <v>66</v>
      </c>
      <c r="E1190" s="13" t="s">
        <v>254</v>
      </c>
      <c r="F1190" s="13"/>
      <c r="G1190" s="14">
        <f>G1191</f>
        <v>6650.2</v>
      </c>
      <c r="H1190" s="87">
        <f>H1191</f>
        <v>6265.5</v>
      </c>
      <c r="I1190" s="14">
        <f t="shared" si="181"/>
        <v>384.6999999999998</v>
      </c>
      <c r="J1190" s="77">
        <f t="shared" si="182"/>
        <v>94.2152115725843</v>
      </c>
    </row>
    <row r="1191" spans="1:10" ht="15" customHeight="1">
      <c r="A1191" s="46" t="s">
        <v>373</v>
      </c>
      <c r="B1191" s="12" t="s">
        <v>564</v>
      </c>
      <c r="C1191" s="12" t="s">
        <v>72</v>
      </c>
      <c r="D1191" s="12" t="s">
        <v>66</v>
      </c>
      <c r="E1191" s="13" t="s">
        <v>508</v>
      </c>
      <c r="F1191" s="13"/>
      <c r="G1191" s="14">
        <f>G1192+G1196</f>
        <v>6650.2</v>
      </c>
      <c r="H1191" s="87">
        <f>H1192+H1196</f>
        <v>6265.5</v>
      </c>
      <c r="I1191" s="14">
        <f t="shared" si="181"/>
        <v>384.6999999999998</v>
      </c>
      <c r="J1191" s="77">
        <f t="shared" si="182"/>
        <v>94.2152115725843</v>
      </c>
    </row>
    <row r="1192" spans="1:10" ht="17.25" customHeight="1">
      <c r="A1192" s="46" t="s">
        <v>374</v>
      </c>
      <c r="B1192" s="12" t="s">
        <v>564</v>
      </c>
      <c r="C1192" s="12" t="s">
        <v>72</v>
      </c>
      <c r="D1192" s="12" t="s">
        <v>66</v>
      </c>
      <c r="E1192" s="13" t="s">
        <v>509</v>
      </c>
      <c r="F1192" s="13"/>
      <c r="G1192" s="14">
        <f aca="true" t="shared" si="186" ref="G1192:H1194">G1193</f>
        <v>6500</v>
      </c>
      <c r="H1192" s="87">
        <f t="shared" si="186"/>
        <v>6147.5</v>
      </c>
      <c r="I1192" s="14">
        <f t="shared" si="181"/>
        <v>352.5</v>
      </c>
      <c r="J1192" s="77">
        <f t="shared" si="182"/>
        <v>94.57692307692308</v>
      </c>
    </row>
    <row r="1193" spans="1:10" ht="15.75" customHeight="1">
      <c r="A1193" s="46" t="s">
        <v>770</v>
      </c>
      <c r="B1193" s="12" t="s">
        <v>564</v>
      </c>
      <c r="C1193" s="12" t="s">
        <v>72</v>
      </c>
      <c r="D1193" s="12" t="s">
        <v>66</v>
      </c>
      <c r="E1193" s="13" t="s">
        <v>509</v>
      </c>
      <c r="F1193" s="13" t="s">
        <v>113</v>
      </c>
      <c r="G1193" s="14">
        <f t="shared" si="186"/>
        <v>6500</v>
      </c>
      <c r="H1193" s="87">
        <f t="shared" si="186"/>
        <v>6147.5</v>
      </c>
      <c r="I1193" s="14">
        <f t="shared" si="181"/>
        <v>352.5</v>
      </c>
      <c r="J1193" s="77">
        <f t="shared" si="182"/>
        <v>94.57692307692308</v>
      </c>
    </row>
    <row r="1194" spans="1:10" ht="30" customHeight="1">
      <c r="A1194" s="46" t="s">
        <v>106</v>
      </c>
      <c r="B1194" s="12" t="s">
        <v>564</v>
      </c>
      <c r="C1194" s="12" t="s">
        <v>72</v>
      </c>
      <c r="D1194" s="12" t="s">
        <v>66</v>
      </c>
      <c r="E1194" s="13" t="s">
        <v>509</v>
      </c>
      <c r="F1194" s="13" t="s">
        <v>107</v>
      </c>
      <c r="G1194" s="14">
        <f t="shared" si="186"/>
        <v>6500</v>
      </c>
      <c r="H1194" s="87">
        <f t="shared" si="186"/>
        <v>6147.5</v>
      </c>
      <c r="I1194" s="14">
        <f t="shared" si="181"/>
        <v>352.5</v>
      </c>
      <c r="J1194" s="77">
        <f t="shared" si="182"/>
        <v>94.57692307692308</v>
      </c>
    </row>
    <row r="1195" spans="1:10" ht="25.5">
      <c r="A1195" s="46" t="s">
        <v>108</v>
      </c>
      <c r="B1195" s="12" t="s">
        <v>564</v>
      </c>
      <c r="C1195" s="12" t="s">
        <v>72</v>
      </c>
      <c r="D1195" s="12" t="s">
        <v>66</v>
      </c>
      <c r="E1195" s="13" t="s">
        <v>509</v>
      </c>
      <c r="F1195" s="13" t="s">
        <v>109</v>
      </c>
      <c r="G1195" s="14">
        <f>7200+1262.6-703-1259.6</f>
        <v>6500</v>
      </c>
      <c r="H1195" s="87">
        <v>6147.5</v>
      </c>
      <c r="I1195" s="14">
        <f t="shared" si="181"/>
        <v>352.5</v>
      </c>
      <c r="J1195" s="77">
        <f t="shared" si="182"/>
        <v>94.57692307692308</v>
      </c>
    </row>
    <row r="1196" spans="1:10" ht="12.75">
      <c r="A1196" s="46" t="s">
        <v>382</v>
      </c>
      <c r="B1196" s="12" t="s">
        <v>564</v>
      </c>
      <c r="C1196" s="12" t="s">
        <v>72</v>
      </c>
      <c r="D1196" s="12" t="s">
        <v>66</v>
      </c>
      <c r="E1196" s="13" t="s">
        <v>531</v>
      </c>
      <c r="F1196" s="13"/>
      <c r="G1196" s="14">
        <f>G1197+G1200</f>
        <v>150.2</v>
      </c>
      <c r="H1196" s="87">
        <f>H1197+H1200</f>
        <v>118</v>
      </c>
      <c r="I1196" s="14">
        <f t="shared" si="181"/>
        <v>32.19999999999999</v>
      </c>
      <c r="J1196" s="77">
        <f t="shared" si="182"/>
        <v>78.56191744340879</v>
      </c>
    </row>
    <row r="1197" spans="1:10" ht="25.5">
      <c r="A1197" s="46" t="s">
        <v>770</v>
      </c>
      <c r="B1197" s="12" t="s">
        <v>564</v>
      </c>
      <c r="C1197" s="12" t="s">
        <v>72</v>
      </c>
      <c r="D1197" s="12" t="s">
        <v>66</v>
      </c>
      <c r="E1197" s="13" t="s">
        <v>531</v>
      </c>
      <c r="F1197" s="13" t="s">
        <v>113</v>
      </c>
      <c r="G1197" s="14">
        <f>G1198</f>
        <v>150</v>
      </c>
      <c r="H1197" s="87">
        <f>H1198</f>
        <v>118</v>
      </c>
      <c r="I1197" s="14">
        <f t="shared" si="181"/>
        <v>32</v>
      </c>
      <c r="J1197" s="77">
        <f t="shared" si="182"/>
        <v>78.66666666666666</v>
      </c>
    </row>
    <row r="1198" spans="1:10" ht="25.5">
      <c r="A1198" s="46" t="s">
        <v>106</v>
      </c>
      <c r="B1198" s="12" t="s">
        <v>564</v>
      </c>
      <c r="C1198" s="12" t="s">
        <v>72</v>
      </c>
      <c r="D1198" s="12" t="s">
        <v>66</v>
      </c>
      <c r="E1198" s="13" t="s">
        <v>531</v>
      </c>
      <c r="F1198" s="13" t="s">
        <v>107</v>
      </c>
      <c r="G1198" s="14">
        <f>G1199</f>
        <v>150</v>
      </c>
      <c r="H1198" s="87">
        <f>H1199</f>
        <v>118</v>
      </c>
      <c r="I1198" s="14">
        <f t="shared" si="181"/>
        <v>32</v>
      </c>
      <c r="J1198" s="77">
        <f t="shared" si="182"/>
        <v>78.66666666666666</v>
      </c>
    </row>
    <row r="1199" spans="1:10" ht="25.5">
      <c r="A1199" s="46" t="s">
        <v>108</v>
      </c>
      <c r="B1199" s="12" t="s">
        <v>564</v>
      </c>
      <c r="C1199" s="12" t="s">
        <v>72</v>
      </c>
      <c r="D1199" s="12" t="s">
        <v>66</v>
      </c>
      <c r="E1199" s="13" t="s">
        <v>531</v>
      </c>
      <c r="F1199" s="13" t="s">
        <v>109</v>
      </c>
      <c r="G1199" s="14">
        <f>1000-0.2-849.8</f>
        <v>150</v>
      </c>
      <c r="H1199" s="87">
        <v>118</v>
      </c>
      <c r="I1199" s="14">
        <f t="shared" si="181"/>
        <v>32</v>
      </c>
      <c r="J1199" s="77">
        <f t="shared" si="182"/>
        <v>78.66666666666666</v>
      </c>
    </row>
    <row r="1200" spans="1:10" ht="12.75">
      <c r="A1200" s="9" t="s">
        <v>137</v>
      </c>
      <c r="B1200" s="12" t="s">
        <v>564</v>
      </c>
      <c r="C1200" s="12" t="s">
        <v>72</v>
      </c>
      <c r="D1200" s="12" t="s">
        <v>66</v>
      </c>
      <c r="E1200" s="13" t="s">
        <v>531</v>
      </c>
      <c r="F1200" s="13" t="s">
        <v>138</v>
      </c>
      <c r="G1200" s="14">
        <f>G1201</f>
        <v>0.2</v>
      </c>
      <c r="H1200" s="87">
        <f>H1201</f>
        <v>0</v>
      </c>
      <c r="I1200" s="14">
        <f t="shared" si="181"/>
        <v>0.2</v>
      </c>
      <c r="J1200" s="77">
        <f t="shared" si="182"/>
        <v>0</v>
      </c>
    </row>
    <row r="1201" spans="1:10" ht="12.75">
      <c r="A1201" s="9" t="s">
        <v>140</v>
      </c>
      <c r="B1201" s="12" t="s">
        <v>564</v>
      </c>
      <c r="C1201" s="12" t="s">
        <v>72</v>
      </c>
      <c r="D1201" s="12" t="s">
        <v>66</v>
      </c>
      <c r="E1201" s="13" t="s">
        <v>531</v>
      </c>
      <c r="F1201" s="13" t="s">
        <v>141</v>
      </c>
      <c r="G1201" s="14">
        <f>G1202</f>
        <v>0.2</v>
      </c>
      <c r="H1201" s="87">
        <f>H1202</f>
        <v>0</v>
      </c>
      <c r="I1201" s="14">
        <f t="shared" si="181"/>
        <v>0.2</v>
      </c>
      <c r="J1201" s="77">
        <f t="shared" si="182"/>
        <v>0</v>
      </c>
    </row>
    <row r="1202" spans="1:10" ht="12.75">
      <c r="A1202" s="9" t="s">
        <v>180</v>
      </c>
      <c r="B1202" s="12" t="s">
        <v>564</v>
      </c>
      <c r="C1202" s="12" t="s">
        <v>72</v>
      </c>
      <c r="D1202" s="12" t="s">
        <v>66</v>
      </c>
      <c r="E1202" s="13" t="s">
        <v>531</v>
      </c>
      <c r="F1202" s="13" t="s">
        <v>181</v>
      </c>
      <c r="G1202" s="14">
        <v>0.2</v>
      </c>
      <c r="H1202" s="87">
        <v>0</v>
      </c>
      <c r="I1202" s="14">
        <f t="shared" si="181"/>
        <v>0.2</v>
      </c>
      <c r="J1202" s="77">
        <f t="shared" si="182"/>
        <v>0</v>
      </c>
    </row>
    <row r="1203" spans="1:10" ht="12.75">
      <c r="A1203" s="60" t="s">
        <v>244</v>
      </c>
      <c r="B1203" s="37" t="s">
        <v>564</v>
      </c>
      <c r="C1203" s="37" t="s">
        <v>72</v>
      </c>
      <c r="D1203" s="37" t="s">
        <v>67</v>
      </c>
      <c r="E1203" s="57"/>
      <c r="F1203" s="29"/>
      <c r="G1203" s="30">
        <f>G1204+G1226+G1212</f>
        <v>28231.2</v>
      </c>
      <c r="H1203" s="105">
        <f>H1204+H1226+H1212</f>
        <v>28008.899999999998</v>
      </c>
      <c r="I1203" s="30">
        <f t="shared" si="181"/>
        <v>222.3000000000029</v>
      </c>
      <c r="J1203" s="82">
        <f t="shared" si="182"/>
        <v>99.21257332313185</v>
      </c>
    </row>
    <row r="1204" spans="1:10" ht="25.5">
      <c r="A1204" s="46" t="s">
        <v>375</v>
      </c>
      <c r="B1204" s="12" t="s">
        <v>564</v>
      </c>
      <c r="C1204" s="12" t="s">
        <v>72</v>
      </c>
      <c r="D1204" s="12" t="s">
        <v>67</v>
      </c>
      <c r="E1204" s="45" t="s">
        <v>376</v>
      </c>
      <c r="F1204" s="13"/>
      <c r="G1204" s="14">
        <f>G1205</f>
        <v>2700</v>
      </c>
      <c r="H1204" s="87">
        <f>H1205</f>
        <v>2683.4</v>
      </c>
      <c r="I1204" s="14">
        <f t="shared" si="181"/>
        <v>16.59999999999991</v>
      </c>
      <c r="J1204" s="77">
        <f t="shared" si="182"/>
        <v>99.3851851851852</v>
      </c>
    </row>
    <row r="1205" spans="1:10" ht="12.75">
      <c r="A1205" s="46" t="s">
        <v>372</v>
      </c>
      <c r="B1205" s="12" t="s">
        <v>564</v>
      </c>
      <c r="C1205" s="12" t="s">
        <v>72</v>
      </c>
      <c r="D1205" s="12" t="s">
        <v>67</v>
      </c>
      <c r="E1205" s="45" t="s">
        <v>498</v>
      </c>
      <c r="F1205" s="13"/>
      <c r="G1205" s="14">
        <f>G1206+G1209</f>
        <v>2700</v>
      </c>
      <c r="H1205" s="87">
        <f>H1206+H1209</f>
        <v>2683.4</v>
      </c>
      <c r="I1205" s="14">
        <f t="shared" si="181"/>
        <v>16.59999999999991</v>
      </c>
      <c r="J1205" s="77">
        <f t="shared" si="182"/>
        <v>99.3851851851852</v>
      </c>
    </row>
    <row r="1206" spans="1:10" ht="25.5">
      <c r="A1206" s="9" t="s">
        <v>657</v>
      </c>
      <c r="B1206" s="12" t="s">
        <v>564</v>
      </c>
      <c r="C1206" s="12" t="s">
        <v>72</v>
      </c>
      <c r="D1206" s="12" t="s">
        <v>67</v>
      </c>
      <c r="E1206" s="45" t="s">
        <v>499</v>
      </c>
      <c r="F1206" s="13"/>
      <c r="G1206" s="14">
        <f>G1207</f>
        <v>1700</v>
      </c>
      <c r="H1206" s="87">
        <f>H1207</f>
        <v>1683.4</v>
      </c>
      <c r="I1206" s="14">
        <f t="shared" si="181"/>
        <v>16.59999999999991</v>
      </c>
      <c r="J1206" s="77">
        <f t="shared" si="182"/>
        <v>99.02352941176471</v>
      </c>
    </row>
    <row r="1207" spans="1:10" ht="12.75">
      <c r="A1207" s="46" t="s">
        <v>137</v>
      </c>
      <c r="B1207" s="12" t="s">
        <v>564</v>
      </c>
      <c r="C1207" s="12" t="s">
        <v>72</v>
      </c>
      <c r="D1207" s="12" t="s">
        <v>67</v>
      </c>
      <c r="E1207" s="45" t="s">
        <v>499</v>
      </c>
      <c r="F1207" s="13" t="s">
        <v>138</v>
      </c>
      <c r="G1207" s="14">
        <f>G1208</f>
        <v>1700</v>
      </c>
      <c r="H1207" s="87">
        <f>H1208</f>
        <v>1683.4</v>
      </c>
      <c r="I1207" s="14">
        <f t="shared" si="181"/>
        <v>16.59999999999991</v>
      </c>
      <c r="J1207" s="77">
        <f t="shared" si="182"/>
        <v>99.02352941176471</v>
      </c>
    </row>
    <row r="1208" spans="1:10" ht="24" customHeight="1">
      <c r="A1208" s="46" t="s">
        <v>182</v>
      </c>
      <c r="B1208" s="12" t="s">
        <v>564</v>
      </c>
      <c r="C1208" s="12" t="s">
        <v>72</v>
      </c>
      <c r="D1208" s="12" t="s">
        <v>67</v>
      </c>
      <c r="E1208" s="45" t="s">
        <v>499</v>
      </c>
      <c r="F1208" s="13" t="s">
        <v>139</v>
      </c>
      <c r="G1208" s="14">
        <v>1700</v>
      </c>
      <c r="H1208" s="87">
        <v>1683.4</v>
      </c>
      <c r="I1208" s="14">
        <f t="shared" si="181"/>
        <v>16.59999999999991</v>
      </c>
      <c r="J1208" s="77">
        <f t="shared" si="182"/>
        <v>99.02352941176471</v>
      </c>
    </row>
    <row r="1209" spans="1:10" ht="24" customHeight="1">
      <c r="A1209" s="9" t="s">
        <v>637</v>
      </c>
      <c r="B1209" s="12" t="s">
        <v>564</v>
      </c>
      <c r="C1209" s="12" t="s">
        <v>72</v>
      </c>
      <c r="D1209" s="12" t="s">
        <v>67</v>
      </c>
      <c r="E1209" s="45" t="s">
        <v>638</v>
      </c>
      <c r="F1209" s="13"/>
      <c r="G1209" s="14">
        <f>G1210</f>
        <v>1000</v>
      </c>
      <c r="H1209" s="87">
        <f>H1210</f>
        <v>1000</v>
      </c>
      <c r="I1209" s="14">
        <f t="shared" si="181"/>
        <v>0</v>
      </c>
      <c r="J1209" s="77">
        <f t="shared" si="182"/>
        <v>100</v>
      </c>
    </row>
    <row r="1210" spans="1:10" ht="24" customHeight="1">
      <c r="A1210" s="46" t="s">
        <v>137</v>
      </c>
      <c r="B1210" s="12" t="s">
        <v>564</v>
      </c>
      <c r="C1210" s="12" t="s">
        <v>72</v>
      </c>
      <c r="D1210" s="12" t="s">
        <v>67</v>
      </c>
      <c r="E1210" s="45" t="s">
        <v>638</v>
      </c>
      <c r="F1210" s="13" t="s">
        <v>138</v>
      </c>
      <c r="G1210" s="14">
        <f>G1211</f>
        <v>1000</v>
      </c>
      <c r="H1210" s="87">
        <f>H1211</f>
        <v>1000</v>
      </c>
      <c r="I1210" s="14">
        <f t="shared" si="181"/>
        <v>0</v>
      </c>
      <c r="J1210" s="77">
        <f t="shared" si="182"/>
        <v>100</v>
      </c>
    </row>
    <row r="1211" spans="1:10" ht="24" customHeight="1">
      <c r="A1211" s="46" t="s">
        <v>182</v>
      </c>
      <c r="B1211" s="12" t="s">
        <v>564</v>
      </c>
      <c r="C1211" s="12" t="s">
        <v>72</v>
      </c>
      <c r="D1211" s="12" t="s">
        <v>67</v>
      </c>
      <c r="E1211" s="45" t="s">
        <v>638</v>
      </c>
      <c r="F1211" s="13" t="s">
        <v>139</v>
      </c>
      <c r="G1211" s="14">
        <v>1000</v>
      </c>
      <c r="H1211" s="87">
        <v>1000</v>
      </c>
      <c r="I1211" s="14">
        <f t="shared" si="181"/>
        <v>0</v>
      </c>
      <c r="J1211" s="77">
        <f t="shared" si="182"/>
        <v>100</v>
      </c>
    </row>
    <row r="1212" spans="1:10" ht="24" customHeight="1">
      <c r="A1212" s="9" t="s">
        <v>639</v>
      </c>
      <c r="B1212" s="12" t="s">
        <v>642</v>
      </c>
      <c r="C1212" s="12" t="s">
        <v>72</v>
      </c>
      <c r="D1212" s="12" t="s">
        <v>67</v>
      </c>
      <c r="E1212" s="45" t="s">
        <v>643</v>
      </c>
      <c r="F1212" s="13"/>
      <c r="G1212" s="14">
        <f>G1213</f>
        <v>19711.2</v>
      </c>
      <c r="H1212" s="87">
        <f>H1213</f>
        <v>19710.1</v>
      </c>
      <c r="I1212" s="14">
        <f t="shared" si="181"/>
        <v>1.1000000000021828</v>
      </c>
      <c r="J1212" s="77">
        <f t="shared" si="182"/>
        <v>99.99441941637241</v>
      </c>
    </row>
    <row r="1213" spans="1:10" ht="24" customHeight="1">
      <c r="A1213" s="9" t="s">
        <v>640</v>
      </c>
      <c r="B1213" s="12" t="s">
        <v>642</v>
      </c>
      <c r="C1213" s="12" t="s">
        <v>72</v>
      </c>
      <c r="D1213" s="12" t="s">
        <v>67</v>
      </c>
      <c r="E1213" s="45" t="s">
        <v>644</v>
      </c>
      <c r="F1213" s="13"/>
      <c r="G1213" s="14">
        <f>G1220+G1214</f>
        <v>19711.2</v>
      </c>
      <c r="H1213" s="87">
        <f>H1220+H1214</f>
        <v>19710.1</v>
      </c>
      <c r="I1213" s="14">
        <f t="shared" si="181"/>
        <v>1.1000000000021828</v>
      </c>
      <c r="J1213" s="77">
        <f t="shared" si="182"/>
        <v>99.99441941637241</v>
      </c>
    </row>
    <row r="1214" spans="1:10" ht="24" customHeight="1">
      <c r="A1214" s="9" t="s">
        <v>701</v>
      </c>
      <c r="B1214" s="12" t="s">
        <v>642</v>
      </c>
      <c r="C1214" s="12" t="s">
        <v>72</v>
      </c>
      <c r="D1214" s="12" t="s">
        <v>67</v>
      </c>
      <c r="E1214" s="45" t="s">
        <v>702</v>
      </c>
      <c r="F1214" s="13"/>
      <c r="G1214" s="14">
        <f>G1215+G1218</f>
        <v>19406.8</v>
      </c>
      <c r="H1214" s="87">
        <f>H1215+H1218</f>
        <v>19405.8</v>
      </c>
      <c r="I1214" s="14">
        <f t="shared" si="181"/>
        <v>1</v>
      </c>
      <c r="J1214" s="77">
        <f t="shared" si="182"/>
        <v>99.9948471669724</v>
      </c>
    </row>
    <row r="1215" spans="1:10" ht="24" customHeight="1">
      <c r="A1215" s="46" t="s">
        <v>770</v>
      </c>
      <c r="B1215" s="12" t="s">
        <v>642</v>
      </c>
      <c r="C1215" s="12" t="s">
        <v>72</v>
      </c>
      <c r="D1215" s="12" t="s">
        <v>67</v>
      </c>
      <c r="E1215" s="45" t="s">
        <v>702</v>
      </c>
      <c r="F1215" s="13" t="s">
        <v>113</v>
      </c>
      <c r="G1215" s="14">
        <f>G1216</f>
        <v>3222.9000000000005</v>
      </c>
      <c r="H1215" s="87">
        <f>H1216</f>
        <v>3222.9</v>
      </c>
      <c r="I1215" s="14">
        <f t="shared" si="181"/>
        <v>0</v>
      </c>
      <c r="J1215" s="77">
        <f t="shared" si="182"/>
        <v>99.99999999999999</v>
      </c>
    </row>
    <row r="1216" spans="1:10" ht="24" customHeight="1">
      <c r="A1216" s="9" t="s">
        <v>106</v>
      </c>
      <c r="B1216" s="12" t="s">
        <v>642</v>
      </c>
      <c r="C1216" s="12" t="s">
        <v>72</v>
      </c>
      <c r="D1216" s="12" t="s">
        <v>67</v>
      </c>
      <c r="E1216" s="45" t="s">
        <v>702</v>
      </c>
      <c r="F1216" s="13" t="s">
        <v>107</v>
      </c>
      <c r="G1216" s="14">
        <f>G1217</f>
        <v>3222.9000000000005</v>
      </c>
      <c r="H1216" s="87">
        <f>H1217</f>
        <v>3222.9</v>
      </c>
      <c r="I1216" s="14">
        <f t="shared" si="181"/>
        <v>0</v>
      </c>
      <c r="J1216" s="77">
        <f t="shared" si="182"/>
        <v>99.99999999999999</v>
      </c>
    </row>
    <row r="1217" spans="1:10" ht="24" customHeight="1">
      <c r="A1217" s="9" t="s">
        <v>108</v>
      </c>
      <c r="B1217" s="12" t="s">
        <v>642</v>
      </c>
      <c r="C1217" s="12" t="s">
        <v>72</v>
      </c>
      <c r="D1217" s="12" t="s">
        <v>67</v>
      </c>
      <c r="E1217" s="45" t="s">
        <v>702</v>
      </c>
      <c r="F1217" s="13" t="s">
        <v>109</v>
      </c>
      <c r="G1217" s="14">
        <f>14669+1500-13082.9+136.8</f>
        <v>3222.9000000000005</v>
      </c>
      <c r="H1217" s="87">
        <v>3222.9</v>
      </c>
      <c r="I1217" s="14">
        <f t="shared" si="181"/>
        <v>0</v>
      </c>
      <c r="J1217" s="77">
        <f t="shared" si="182"/>
        <v>99.99999999999999</v>
      </c>
    </row>
    <row r="1218" spans="1:10" ht="24" customHeight="1">
      <c r="A1218" s="46" t="s">
        <v>137</v>
      </c>
      <c r="B1218" s="12" t="s">
        <v>642</v>
      </c>
      <c r="C1218" s="12" t="s">
        <v>72</v>
      </c>
      <c r="D1218" s="12" t="s">
        <v>67</v>
      </c>
      <c r="E1218" s="45" t="s">
        <v>702</v>
      </c>
      <c r="F1218" s="13" t="s">
        <v>138</v>
      </c>
      <c r="G1218" s="14">
        <f>G1219</f>
        <v>16183.9</v>
      </c>
      <c r="H1218" s="87">
        <f>H1219</f>
        <v>16182.9</v>
      </c>
      <c r="I1218" s="14">
        <f t="shared" si="181"/>
        <v>1</v>
      </c>
      <c r="J1218" s="77">
        <f t="shared" si="182"/>
        <v>99.99382101965534</v>
      </c>
    </row>
    <row r="1219" spans="1:10" ht="24" customHeight="1">
      <c r="A1219" s="46" t="s">
        <v>182</v>
      </c>
      <c r="B1219" s="12" t="s">
        <v>642</v>
      </c>
      <c r="C1219" s="12" t="s">
        <v>72</v>
      </c>
      <c r="D1219" s="12" t="s">
        <v>67</v>
      </c>
      <c r="E1219" s="45" t="s">
        <v>702</v>
      </c>
      <c r="F1219" s="13" t="s">
        <v>139</v>
      </c>
      <c r="G1219" s="14">
        <v>16183.9</v>
      </c>
      <c r="H1219" s="87">
        <v>16182.9</v>
      </c>
      <c r="I1219" s="14">
        <f t="shared" si="181"/>
        <v>1</v>
      </c>
      <c r="J1219" s="77">
        <f t="shared" si="182"/>
        <v>99.99382101965534</v>
      </c>
    </row>
    <row r="1220" spans="1:10" ht="18" customHeight="1">
      <c r="A1220" s="9" t="s">
        <v>641</v>
      </c>
      <c r="B1220" s="12" t="s">
        <v>642</v>
      </c>
      <c r="C1220" s="12" t="s">
        <v>72</v>
      </c>
      <c r="D1220" s="12" t="s">
        <v>67</v>
      </c>
      <c r="E1220" s="45" t="s">
        <v>665</v>
      </c>
      <c r="F1220" s="13"/>
      <c r="G1220" s="14">
        <f>G1221+G1224</f>
        <v>304.4</v>
      </c>
      <c r="H1220" s="87">
        <f>H1221+H1224</f>
        <v>304.3</v>
      </c>
      <c r="I1220" s="14">
        <f t="shared" si="181"/>
        <v>0.0999999999999659</v>
      </c>
      <c r="J1220" s="77">
        <f t="shared" si="182"/>
        <v>99.96714848883049</v>
      </c>
    </row>
    <row r="1221" spans="1:10" ht="14.25" customHeight="1">
      <c r="A1221" s="46" t="s">
        <v>770</v>
      </c>
      <c r="B1221" s="12" t="s">
        <v>642</v>
      </c>
      <c r="C1221" s="12" t="s">
        <v>72</v>
      </c>
      <c r="D1221" s="12" t="s">
        <v>67</v>
      </c>
      <c r="E1221" s="45" t="s">
        <v>665</v>
      </c>
      <c r="F1221" s="13" t="s">
        <v>113</v>
      </c>
      <c r="G1221" s="14">
        <f>G1222</f>
        <v>107.1</v>
      </c>
      <c r="H1221" s="87">
        <f>H1222</f>
        <v>107</v>
      </c>
      <c r="I1221" s="14">
        <f t="shared" si="181"/>
        <v>0.09999999999999432</v>
      </c>
      <c r="J1221" s="77">
        <f t="shared" si="182"/>
        <v>99.90662931839402</v>
      </c>
    </row>
    <row r="1222" spans="1:10" ht="24" customHeight="1">
      <c r="A1222" s="9" t="s">
        <v>106</v>
      </c>
      <c r="B1222" s="12" t="s">
        <v>642</v>
      </c>
      <c r="C1222" s="12" t="s">
        <v>72</v>
      </c>
      <c r="D1222" s="12" t="s">
        <v>67</v>
      </c>
      <c r="E1222" s="45" t="s">
        <v>665</v>
      </c>
      <c r="F1222" s="13" t="s">
        <v>107</v>
      </c>
      <c r="G1222" s="14">
        <f>G1223</f>
        <v>107.1</v>
      </c>
      <c r="H1222" s="87">
        <f>H1223</f>
        <v>107</v>
      </c>
      <c r="I1222" s="14">
        <f t="shared" si="181"/>
        <v>0.09999999999999432</v>
      </c>
      <c r="J1222" s="77">
        <f t="shared" si="182"/>
        <v>99.90662931839402</v>
      </c>
    </row>
    <row r="1223" spans="1:10" ht="24" customHeight="1">
      <c r="A1223" s="9" t="s">
        <v>108</v>
      </c>
      <c r="B1223" s="12" t="s">
        <v>642</v>
      </c>
      <c r="C1223" s="12" t="s">
        <v>72</v>
      </c>
      <c r="D1223" s="12" t="s">
        <v>67</v>
      </c>
      <c r="E1223" s="45" t="s">
        <v>665</v>
      </c>
      <c r="F1223" s="13" t="s">
        <v>109</v>
      </c>
      <c r="G1223" s="14">
        <f>150-27.7-15.2</f>
        <v>107.1</v>
      </c>
      <c r="H1223" s="87">
        <v>107</v>
      </c>
      <c r="I1223" s="14">
        <f t="shared" si="181"/>
        <v>0.09999999999999432</v>
      </c>
      <c r="J1223" s="77">
        <f t="shared" si="182"/>
        <v>99.90662931839402</v>
      </c>
    </row>
    <row r="1224" spans="1:10" ht="15" customHeight="1">
      <c r="A1224" s="9" t="s">
        <v>137</v>
      </c>
      <c r="B1224" s="12" t="s">
        <v>642</v>
      </c>
      <c r="C1224" s="12" t="s">
        <v>72</v>
      </c>
      <c r="D1224" s="12" t="s">
        <v>67</v>
      </c>
      <c r="E1224" s="45" t="s">
        <v>665</v>
      </c>
      <c r="F1224" s="13" t="s">
        <v>138</v>
      </c>
      <c r="G1224" s="14">
        <f>G1225</f>
        <v>197.3</v>
      </c>
      <c r="H1224" s="87">
        <f>H1225</f>
        <v>197.3</v>
      </c>
      <c r="I1224" s="14">
        <f t="shared" si="181"/>
        <v>0</v>
      </c>
      <c r="J1224" s="77">
        <f t="shared" si="182"/>
        <v>100</v>
      </c>
    </row>
    <row r="1225" spans="1:10" ht="24" customHeight="1">
      <c r="A1225" s="9" t="s">
        <v>182</v>
      </c>
      <c r="B1225" s="12" t="s">
        <v>642</v>
      </c>
      <c r="C1225" s="12" t="s">
        <v>72</v>
      </c>
      <c r="D1225" s="12" t="s">
        <v>67</v>
      </c>
      <c r="E1225" s="45" t="s">
        <v>665</v>
      </c>
      <c r="F1225" s="13" t="s">
        <v>139</v>
      </c>
      <c r="G1225" s="14">
        <f>150+47.3</f>
        <v>197.3</v>
      </c>
      <c r="H1225" s="87">
        <v>197.3</v>
      </c>
      <c r="I1225" s="14">
        <f t="shared" si="181"/>
        <v>0</v>
      </c>
      <c r="J1225" s="77">
        <f t="shared" si="182"/>
        <v>100</v>
      </c>
    </row>
    <row r="1226" spans="1:10" ht="15.75" customHeight="1">
      <c r="A1226" s="46" t="s">
        <v>245</v>
      </c>
      <c r="B1226" s="12" t="s">
        <v>564</v>
      </c>
      <c r="C1226" s="12" t="s">
        <v>72</v>
      </c>
      <c r="D1226" s="12" t="s">
        <v>67</v>
      </c>
      <c r="E1226" s="13" t="s">
        <v>257</v>
      </c>
      <c r="F1226" s="13"/>
      <c r="G1226" s="14">
        <f>G1227</f>
        <v>5820</v>
      </c>
      <c r="H1226" s="87">
        <f>H1227</f>
        <v>5615.4</v>
      </c>
      <c r="I1226" s="14">
        <f aca="true" t="shared" si="187" ref="I1226:I1277">G1226-H1226</f>
        <v>204.60000000000036</v>
      </c>
      <c r="J1226" s="77">
        <f aca="true" t="shared" si="188" ref="J1226:J1277">H1226/G1226*100</f>
        <v>96.48453608247422</v>
      </c>
    </row>
    <row r="1227" spans="1:10" ht="12.75">
      <c r="A1227" s="46" t="s">
        <v>344</v>
      </c>
      <c r="B1227" s="12" t="s">
        <v>564</v>
      </c>
      <c r="C1227" s="12" t="s">
        <v>72</v>
      </c>
      <c r="D1227" s="12" t="s">
        <v>67</v>
      </c>
      <c r="E1227" s="13" t="s">
        <v>532</v>
      </c>
      <c r="F1227" s="13"/>
      <c r="G1227" s="14">
        <f>G1228+G1231</f>
        <v>5820</v>
      </c>
      <c r="H1227" s="87">
        <f>H1228+H1231</f>
        <v>5615.4</v>
      </c>
      <c r="I1227" s="14">
        <f t="shared" si="187"/>
        <v>204.60000000000036</v>
      </c>
      <c r="J1227" s="77">
        <f t="shared" si="188"/>
        <v>96.48453608247422</v>
      </c>
    </row>
    <row r="1228" spans="1:10" ht="25.5">
      <c r="A1228" s="46" t="s">
        <v>533</v>
      </c>
      <c r="B1228" s="12" t="s">
        <v>564</v>
      </c>
      <c r="C1228" s="12" t="s">
        <v>72</v>
      </c>
      <c r="D1228" s="12" t="s">
        <v>67</v>
      </c>
      <c r="E1228" s="13" t="s">
        <v>534</v>
      </c>
      <c r="F1228" s="13"/>
      <c r="G1228" s="14">
        <f>G1229</f>
        <v>2820</v>
      </c>
      <c r="H1228" s="87">
        <f>H1229</f>
        <v>2811.6</v>
      </c>
      <c r="I1228" s="14">
        <f t="shared" si="187"/>
        <v>8.400000000000091</v>
      </c>
      <c r="J1228" s="77">
        <f t="shared" si="188"/>
        <v>99.70212765957447</v>
      </c>
    </row>
    <row r="1229" spans="1:10" ht="12.75">
      <c r="A1229" s="46" t="s">
        <v>137</v>
      </c>
      <c r="B1229" s="12" t="s">
        <v>564</v>
      </c>
      <c r="C1229" s="12" t="s">
        <v>72</v>
      </c>
      <c r="D1229" s="12" t="s">
        <v>67</v>
      </c>
      <c r="E1229" s="13" t="s">
        <v>534</v>
      </c>
      <c r="F1229" s="13" t="s">
        <v>138</v>
      </c>
      <c r="G1229" s="14">
        <f>G1230</f>
        <v>2820</v>
      </c>
      <c r="H1229" s="87">
        <f>H1230</f>
        <v>2811.6</v>
      </c>
      <c r="I1229" s="14">
        <f t="shared" si="187"/>
        <v>8.400000000000091</v>
      </c>
      <c r="J1229" s="77">
        <f t="shared" si="188"/>
        <v>99.70212765957447</v>
      </c>
    </row>
    <row r="1230" spans="1:10" ht="25.5">
      <c r="A1230" s="46" t="s">
        <v>182</v>
      </c>
      <c r="B1230" s="12" t="s">
        <v>564</v>
      </c>
      <c r="C1230" s="12" t="s">
        <v>72</v>
      </c>
      <c r="D1230" s="12" t="s">
        <v>67</v>
      </c>
      <c r="E1230" s="13" t="s">
        <v>534</v>
      </c>
      <c r="F1230" s="13" t="s">
        <v>139</v>
      </c>
      <c r="G1230" s="14">
        <f>2400+420</f>
        <v>2820</v>
      </c>
      <c r="H1230" s="87">
        <v>2811.6</v>
      </c>
      <c r="I1230" s="14">
        <f t="shared" si="187"/>
        <v>8.400000000000091</v>
      </c>
      <c r="J1230" s="77">
        <f t="shared" si="188"/>
        <v>99.70212765957447</v>
      </c>
    </row>
    <row r="1231" spans="1:10" ht="12.75">
      <c r="A1231" s="46" t="s">
        <v>383</v>
      </c>
      <c r="B1231" s="12" t="s">
        <v>564</v>
      </c>
      <c r="C1231" s="12" t="s">
        <v>72</v>
      </c>
      <c r="D1231" s="12" t="s">
        <v>67</v>
      </c>
      <c r="E1231" s="13" t="s">
        <v>535</v>
      </c>
      <c r="F1231" s="13"/>
      <c r="G1231" s="14">
        <f aca="true" t="shared" si="189" ref="G1231:H1233">G1232</f>
        <v>3000</v>
      </c>
      <c r="H1231" s="87">
        <f t="shared" si="189"/>
        <v>2803.8</v>
      </c>
      <c r="I1231" s="14">
        <f t="shared" si="187"/>
        <v>196.19999999999982</v>
      </c>
      <c r="J1231" s="77">
        <f t="shared" si="188"/>
        <v>93.46000000000001</v>
      </c>
    </row>
    <row r="1232" spans="1:10" ht="25.5">
      <c r="A1232" s="46" t="s">
        <v>770</v>
      </c>
      <c r="B1232" s="12" t="s">
        <v>564</v>
      </c>
      <c r="C1232" s="12" t="s">
        <v>72</v>
      </c>
      <c r="D1232" s="12" t="s">
        <v>67</v>
      </c>
      <c r="E1232" s="13" t="s">
        <v>535</v>
      </c>
      <c r="F1232" s="13" t="s">
        <v>113</v>
      </c>
      <c r="G1232" s="14">
        <f t="shared" si="189"/>
        <v>3000</v>
      </c>
      <c r="H1232" s="87">
        <f t="shared" si="189"/>
        <v>2803.8</v>
      </c>
      <c r="I1232" s="14">
        <f t="shared" si="187"/>
        <v>196.19999999999982</v>
      </c>
      <c r="J1232" s="77">
        <f t="shared" si="188"/>
        <v>93.46000000000001</v>
      </c>
    </row>
    <row r="1233" spans="1:10" ht="25.5">
      <c r="A1233" s="46" t="s">
        <v>106</v>
      </c>
      <c r="B1233" s="12" t="s">
        <v>564</v>
      </c>
      <c r="C1233" s="12" t="s">
        <v>72</v>
      </c>
      <c r="D1233" s="12" t="s">
        <v>67</v>
      </c>
      <c r="E1233" s="13" t="s">
        <v>535</v>
      </c>
      <c r="F1233" s="13" t="s">
        <v>107</v>
      </c>
      <c r="G1233" s="14">
        <f t="shared" si="189"/>
        <v>3000</v>
      </c>
      <c r="H1233" s="87">
        <f t="shared" si="189"/>
        <v>2803.8</v>
      </c>
      <c r="I1233" s="14">
        <f t="shared" si="187"/>
        <v>196.19999999999982</v>
      </c>
      <c r="J1233" s="77">
        <f t="shared" si="188"/>
        <v>93.46000000000001</v>
      </c>
    </row>
    <row r="1234" spans="1:10" ht="25.5">
      <c r="A1234" s="46" t="s">
        <v>108</v>
      </c>
      <c r="B1234" s="12" t="s">
        <v>564</v>
      </c>
      <c r="C1234" s="12" t="s">
        <v>72</v>
      </c>
      <c r="D1234" s="12" t="s">
        <v>67</v>
      </c>
      <c r="E1234" s="13" t="s">
        <v>535</v>
      </c>
      <c r="F1234" s="13" t="s">
        <v>109</v>
      </c>
      <c r="G1234" s="14">
        <f>3700-700</f>
        <v>3000</v>
      </c>
      <c r="H1234" s="87">
        <v>2803.8</v>
      </c>
      <c r="I1234" s="14">
        <f t="shared" si="187"/>
        <v>196.19999999999982</v>
      </c>
      <c r="J1234" s="77">
        <f t="shared" si="188"/>
        <v>93.46000000000001</v>
      </c>
    </row>
    <row r="1235" spans="1:10" ht="12.75" hidden="1">
      <c r="A1235" s="46"/>
      <c r="B1235" s="12"/>
      <c r="C1235" s="12"/>
      <c r="D1235" s="12"/>
      <c r="E1235" s="13"/>
      <c r="F1235" s="13"/>
      <c r="G1235" s="14"/>
      <c r="H1235" s="87"/>
      <c r="I1235" s="14">
        <f t="shared" si="187"/>
        <v>0</v>
      </c>
      <c r="J1235" s="77" t="e">
        <f t="shared" si="188"/>
        <v>#DIV/0!</v>
      </c>
    </row>
    <row r="1236" spans="1:10" ht="12.75" hidden="1">
      <c r="A1236" s="46"/>
      <c r="B1236" s="12"/>
      <c r="C1236" s="12"/>
      <c r="D1236" s="12"/>
      <c r="E1236" s="13"/>
      <c r="F1236" s="13"/>
      <c r="G1236" s="14"/>
      <c r="H1236" s="87"/>
      <c r="I1236" s="14">
        <f t="shared" si="187"/>
        <v>0</v>
      </c>
      <c r="J1236" s="77" t="e">
        <f t="shared" si="188"/>
        <v>#DIV/0!</v>
      </c>
    </row>
    <row r="1237" spans="1:10" ht="12.75" hidden="1">
      <c r="A1237" s="46"/>
      <c r="B1237" s="12"/>
      <c r="C1237" s="12"/>
      <c r="D1237" s="12"/>
      <c r="E1237" s="13"/>
      <c r="F1237" s="13"/>
      <c r="G1237" s="14"/>
      <c r="H1237" s="87"/>
      <c r="I1237" s="14">
        <f t="shared" si="187"/>
        <v>0</v>
      </c>
      <c r="J1237" s="77" t="e">
        <f t="shared" si="188"/>
        <v>#DIV/0!</v>
      </c>
    </row>
    <row r="1238" spans="1:10" ht="12.75" hidden="1">
      <c r="A1238" s="46"/>
      <c r="B1238" s="12"/>
      <c r="C1238" s="12"/>
      <c r="D1238" s="12"/>
      <c r="E1238" s="13"/>
      <c r="F1238" s="13"/>
      <c r="G1238" s="14"/>
      <c r="H1238" s="87"/>
      <c r="I1238" s="14">
        <f t="shared" si="187"/>
        <v>0</v>
      </c>
      <c r="J1238" s="77" t="e">
        <f t="shared" si="188"/>
        <v>#DIV/0!</v>
      </c>
    </row>
    <row r="1239" spans="1:10" ht="12.75">
      <c r="A1239" s="60" t="s">
        <v>246</v>
      </c>
      <c r="B1239" s="37" t="s">
        <v>564</v>
      </c>
      <c r="C1239" s="37" t="s">
        <v>72</v>
      </c>
      <c r="D1239" s="37" t="s">
        <v>70</v>
      </c>
      <c r="E1239" s="29"/>
      <c r="F1239" s="29"/>
      <c r="G1239" s="30">
        <f>G1240+G1266</f>
        <v>8493.2</v>
      </c>
      <c r="H1239" s="105">
        <f>H1240+H1266</f>
        <v>8282.4</v>
      </c>
      <c r="I1239" s="30">
        <f t="shared" si="187"/>
        <v>210.8000000000011</v>
      </c>
      <c r="J1239" s="82">
        <f t="shared" si="188"/>
        <v>97.51801441152921</v>
      </c>
    </row>
    <row r="1240" spans="1:10" ht="23.25" customHeight="1">
      <c r="A1240" s="46" t="s">
        <v>371</v>
      </c>
      <c r="B1240" s="12" t="s">
        <v>564</v>
      </c>
      <c r="C1240" s="12" t="s">
        <v>72</v>
      </c>
      <c r="D1240" s="12" t="s">
        <v>70</v>
      </c>
      <c r="E1240" s="45" t="s">
        <v>645</v>
      </c>
      <c r="F1240" s="13"/>
      <c r="G1240" s="14">
        <f>G1241</f>
        <v>8133.2</v>
      </c>
      <c r="H1240" s="87">
        <f>H1241</f>
        <v>8072.8</v>
      </c>
      <c r="I1240" s="14">
        <f t="shared" si="187"/>
        <v>60.399999999999636</v>
      </c>
      <c r="J1240" s="77">
        <f t="shared" si="188"/>
        <v>99.25736487483402</v>
      </c>
    </row>
    <row r="1241" spans="1:10" ht="12.75">
      <c r="A1241" s="46" t="s">
        <v>372</v>
      </c>
      <c r="B1241" s="12" t="s">
        <v>564</v>
      </c>
      <c r="C1241" s="12" t="s">
        <v>72</v>
      </c>
      <c r="D1241" s="12" t="s">
        <v>70</v>
      </c>
      <c r="E1241" s="45" t="s">
        <v>646</v>
      </c>
      <c r="F1241" s="13"/>
      <c r="G1241" s="14">
        <f>G1242+G1254+G1246+G1258+G1262+G1250</f>
        <v>8133.2</v>
      </c>
      <c r="H1241" s="87">
        <f>H1242+H1254+H1246+H1258+H1262+H1250</f>
        <v>8072.8</v>
      </c>
      <c r="I1241" s="14">
        <f t="shared" si="187"/>
        <v>60.399999999999636</v>
      </c>
      <c r="J1241" s="77">
        <f t="shared" si="188"/>
        <v>99.25736487483402</v>
      </c>
    </row>
    <row r="1242" spans="1:10" ht="12.75">
      <c r="A1242" s="9" t="s">
        <v>651</v>
      </c>
      <c r="B1242" s="12" t="s">
        <v>564</v>
      </c>
      <c r="C1242" s="12" t="s">
        <v>72</v>
      </c>
      <c r="D1242" s="12" t="s">
        <v>70</v>
      </c>
      <c r="E1242" s="45" t="s">
        <v>647</v>
      </c>
      <c r="F1242" s="13"/>
      <c r="G1242" s="14">
        <f aca="true" t="shared" si="190" ref="G1242:H1244">G1243</f>
        <v>2522</v>
      </c>
      <c r="H1242" s="87">
        <f t="shared" si="190"/>
        <v>2461.7</v>
      </c>
      <c r="I1242" s="14">
        <f t="shared" si="187"/>
        <v>60.30000000000018</v>
      </c>
      <c r="J1242" s="77">
        <f t="shared" si="188"/>
        <v>97.60904044409199</v>
      </c>
    </row>
    <row r="1243" spans="1:10" ht="25.5">
      <c r="A1243" s="46" t="s">
        <v>770</v>
      </c>
      <c r="B1243" s="12" t="s">
        <v>564</v>
      </c>
      <c r="C1243" s="12" t="s">
        <v>72</v>
      </c>
      <c r="D1243" s="12" t="s">
        <v>70</v>
      </c>
      <c r="E1243" s="45" t="s">
        <v>647</v>
      </c>
      <c r="F1243" s="13" t="s">
        <v>113</v>
      </c>
      <c r="G1243" s="14">
        <f t="shared" si="190"/>
        <v>2522</v>
      </c>
      <c r="H1243" s="87">
        <f t="shared" si="190"/>
        <v>2461.7</v>
      </c>
      <c r="I1243" s="14">
        <f t="shared" si="187"/>
        <v>60.30000000000018</v>
      </c>
      <c r="J1243" s="77">
        <f t="shared" si="188"/>
        <v>97.60904044409199</v>
      </c>
    </row>
    <row r="1244" spans="1:10" ht="25.5">
      <c r="A1244" s="9" t="s">
        <v>106</v>
      </c>
      <c r="B1244" s="12" t="s">
        <v>564</v>
      </c>
      <c r="C1244" s="12" t="s">
        <v>72</v>
      </c>
      <c r="D1244" s="12" t="s">
        <v>70</v>
      </c>
      <c r="E1244" s="45" t="s">
        <v>647</v>
      </c>
      <c r="F1244" s="13" t="s">
        <v>107</v>
      </c>
      <c r="G1244" s="14">
        <f t="shared" si="190"/>
        <v>2522</v>
      </c>
      <c r="H1244" s="87">
        <f t="shared" si="190"/>
        <v>2461.7</v>
      </c>
      <c r="I1244" s="14">
        <f t="shared" si="187"/>
        <v>60.30000000000018</v>
      </c>
      <c r="J1244" s="77">
        <f t="shared" si="188"/>
        <v>97.60904044409199</v>
      </c>
    </row>
    <row r="1245" spans="1:10" ht="25.5">
      <c r="A1245" s="9" t="s">
        <v>108</v>
      </c>
      <c r="B1245" s="12" t="s">
        <v>564</v>
      </c>
      <c r="C1245" s="12" t="s">
        <v>72</v>
      </c>
      <c r="D1245" s="12" t="s">
        <v>70</v>
      </c>
      <c r="E1245" s="45" t="s">
        <v>647</v>
      </c>
      <c r="F1245" s="13" t="s">
        <v>109</v>
      </c>
      <c r="G1245" s="14">
        <f>1640+628+254</f>
        <v>2522</v>
      </c>
      <c r="H1245" s="87">
        <v>2461.7</v>
      </c>
      <c r="I1245" s="14">
        <f t="shared" si="187"/>
        <v>60.30000000000018</v>
      </c>
      <c r="J1245" s="77">
        <f t="shared" si="188"/>
        <v>97.60904044409199</v>
      </c>
    </row>
    <row r="1246" spans="1:10" ht="25.5">
      <c r="A1246" s="9" t="s">
        <v>759</v>
      </c>
      <c r="B1246" s="12" t="s">
        <v>564</v>
      </c>
      <c r="C1246" s="12" t="s">
        <v>72</v>
      </c>
      <c r="D1246" s="12" t="s">
        <v>70</v>
      </c>
      <c r="E1246" s="45" t="s">
        <v>650</v>
      </c>
      <c r="F1246" s="13"/>
      <c r="G1246" s="14">
        <f aca="true" t="shared" si="191" ref="G1246:H1248">G1247</f>
        <v>1000</v>
      </c>
      <c r="H1246" s="87">
        <f t="shared" si="191"/>
        <v>1000</v>
      </c>
      <c r="I1246" s="14">
        <f t="shared" si="187"/>
        <v>0</v>
      </c>
      <c r="J1246" s="77">
        <f t="shared" si="188"/>
        <v>100</v>
      </c>
    </row>
    <row r="1247" spans="1:10" ht="25.5">
      <c r="A1247" s="46" t="s">
        <v>770</v>
      </c>
      <c r="B1247" s="12" t="s">
        <v>564</v>
      </c>
      <c r="C1247" s="12" t="s">
        <v>72</v>
      </c>
      <c r="D1247" s="12" t="s">
        <v>70</v>
      </c>
      <c r="E1247" s="45" t="s">
        <v>650</v>
      </c>
      <c r="F1247" s="13" t="s">
        <v>113</v>
      </c>
      <c r="G1247" s="14">
        <f t="shared" si="191"/>
        <v>1000</v>
      </c>
      <c r="H1247" s="87">
        <f t="shared" si="191"/>
        <v>1000</v>
      </c>
      <c r="I1247" s="14">
        <f t="shared" si="187"/>
        <v>0</v>
      </c>
      <c r="J1247" s="77">
        <f t="shared" si="188"/>
        <v>100</v>
      </c>
    </row>
    <row r="1248" spans="1:10" ht="25.5">
      <c r="A1248" s="9" t="s">
        <v>106</v>
      </c>
      <c r="B1248" s="12" t="s">
        <v>564</v>
      </c>
      <c r="C1248" s="12" t="s">
        <v>72</v>
      </c>
      <c r="D1248" s="12" t="s">
        <v>70</v>
      </c>
      <c r="E1248" s="45" t="s">
        <v>650</v>
      </c>
      <c r="F1248" s="13" t="s">
        <v>107</v>
      </c>
      <c r="G1248" s="14">
        <f t="shared" si="191"/>
        <v>1000</v>
      </c>
      <c r="H1248" s="87">
        <f t="shared" si="191"/>
        <v>1000</v>
      </c>
      <c r="I1248" s="14">
        <f t="shared" si="187"/>
        <v>0</v>
      </c>
      <c r="J1248" s="77">
        <f t="shared" si="188"/>
        <v>100</v>
      </c>
    </row>
    <row r="1249" spans="1:10" ht="25.5">
      <c r="A1249" s="9" t="s">
        <v>108</v>
      </c>
      <c r="B1249" s="12" t="s">
        <v>564</v>
      </c>
      <c r="C1249" s="12" t="s">
        <v>72</v>
      </c>
      <c r="D1249" s="12" t="s">
        <v>70</v>
      </c>
      <c r="E1249" s="45" t="s">
        <v>650</v>
      </c>
      <c r="F1249" s="13" t="s">
        <v>109</v>
      </c>
      <c r="G1249" s="14">
        <f>996.6+3.4</f>
        <v>1000</v>
      </c>
      <c r="H1249" s="87">
        <v>1000</v>
      </c>
      <c r="I1249" s="14">
        <f t="shared" si="187"/>
        <v>0</v>
      </c>
      <c r="J1249" s="77">
        <f t="shared" si="188"/>
        <v>100</v>
      </c>
    </row>
    <row r="1250" spans="1:10" ht="25.5">
      <c r="A1250" s="9" t="s">
        <v>757</v>
      </c>
      <c r="B1250" s="12" t="s">
        <v>564</v>
      </c>
      <c r="C1250" s="12" t="s">
        <v>72</v>
      </c>
      <c r="D1250" s="12" t="s">
        <v>70</v>
      </c>
      <c r="E1250" s="45" t="s">
        <v>758</v>
      </c>
      <c r="F1250" s="13"/>
      <c r="G1250" s="14">
        <f aca="true" t="shared" si="192" ref="G1250:H1252">G1251</f>
        <v>71.6</v>
      </c>
      <c r="H1250" s="87">
        <f t="shared" si="192"/>
        <v>71.6</v>
      </c>
      <c r="I1250" s="14">
        <f t="shared" si="187"/>
        <v>0</v>
      </c>
      <c r="J1250" s="77">
        <f t="shared" si="188"/>
        <v>100</v>
      </c>
    </row>
    <row r="1251" spans="1:10" ht="25.5">
      <c r="A1251" s="46" t="s">
        <v>770</v>
      </c>
      <c r="B1251" s="12" t="s">
        <v>564</v>
      </c>
      <c r="C1251" s="12" t="s">
        <v>72</v>
      </c>
      <c r="D1251" s="12" t="s">
        <v>70</v>
      </c>
      <c r="E1251" s="45" t="s">
        <v>758</v>
      </c>
      <c r="F1251" s="13" t="s">
        <v>113</v>
      </c>
      <c r="G1251" s="14">
        <f t="shared" si="192"/>
        <v>71.6</v>
      </c>
      <c r="H1251" s="87">
        <f t="shared" si="192"/>
        <v>71.6</v>
      </c>
      <c r="I1251" s="14">
        <f t="shared" si="187"/>
        <v>0</v>
      </c>
      <c r="J1251" s="77">
        <f t="shared" si="188"/>
        <v>100</v>
      </c>
    </row>
    <row r="1252" spans="1:10" ht="25.5">
      <c r="A1252" s="9" t="s">
        <v>106</v>
      </c>
      <c r="B1252" s="12" t="s">
        <v>564</v>
      </c>
      <c r="C1252" s="12" t="s">
        <v>72</v>
      </c>
      <c r="D1252" s="12" t="s">
        <v>70</v>
      </c>
      <c r="E1252" s="45" t="s">
        <v>758</v>
      </c>
      <c r="F1252" s="13" t="s">
        <v>107</v>
      </c>
      <c r="G1252" s="14">
        <f t="shared" si="192"/>
        <v>71.6</v>
      </c>
      <c r="H1252" s="87">
        <f t="shared" si="192"/>
        <v>71.6</v>
      </c>
      <c r="I1252" s="14">
        <f t="shared" si="187"/>
        <v>0</v>
      </c>
      <c r="J1252" s="77">
        <f t="shared" si="188"/>
        <v>100</v>
      </c>
    </row>
    <row r="1253" spans="1:10" ht="25.5">
      <c r="A1253" s="9" t="s">
        <v>108</v>
      </c>
      <c r="B1253" s="12" t="s">
        <v>564</v>
      </c>
      <c r="C1253" s="12" t="s">
        <v>72</v>
      </c>
      <c r="D1253" s="12" t="s">
        <v>70</v>
      </c>
      <c r="E1253" s="45" t="s">
        <v>758</v>
      </c>
      <c r="F1253" s="13" t="s">
        <v>109</v>
      </c>
      <c r="G1253" s="14">
        <f>71.6</f>
        <v>71.6</v>
      </c>
      <c r="H1253" s="87">
        <v>71.6</v>
      </c>
      <c r="I1253" s="14">
        <f t="shared" si="187"/>
        <v>0</v>
      </c>
      <c r="J1253" s="77">
        <f t="shared" si="188"/>
        <v>100</v>
      </c>
    </row>
    <row r="1254" spans="1:10" ht="12.75">
      <c r="A1254" s="9" t="s">
        <v>649</v>
      </c>
      <c r="B1254" s="12" t="s">
        <v>564</v>
      </c>
      <c r="C1254" s="12" t="s">
        <v>72</v>
      </c>
      <c r="D1254" s="12" t="s">
        <v>70</v>
      </c>
      <c r="E1254" s="45" t="s">
        <v>648</v>
      </c>
      <c r="F1254" s="13"/>
      <c r="G1254" s="14">
        <f aca="true" t="shared" si="193" ref="G1254:H1256">G1255</f>
        <v>61.30000000000001</v>
      </c>
      <c r="H1254" s="87">
        <f t="shared" si="193"/>
        <v>61.2</v>
      </c>
      <c r="I1254" s="14">
        <f t="shared" si="187"/>
        <v>0.10000000000000853</v>
      </c>
      <c r="J1254" s="77">
        <f t="shared" si="188"/>
        <v>99.83686786296899</v>
      </c>
    </row>
    <row r="1255" spans="1:10" ht="25.5">
      <c r="A1255" s="46" t="s">
        <v>770</v>
      </c>
      <c r="B1255" s="12" t="s">
        <v>564</v>
      </c>
      <c r="C1255" s="12" t="s">
        <v>72</v>
      </c>
      <c r="D1255" s="12" t="s">
        <v>70</v>
      </c>
      <c r="E1255" s="45" t="s">
        <v>648</v>
      </c>
      <c r="F1255" s="13" t="s">
        <v>113</v>
      </c>
      <c r="G1255" s="14">
        <f t="shared" si="193"/>
        <v>61.30000000000001</v>
      </c>
      <c r="H1255" s="87">
        <f t="shared" si="193"/>
        <v>61.2</v>
      </c>
      <c r="I1255" s="14">
        <f t="shared" si="187"/>
        <v>0.10000000000000853</v>
      </c>
      <c r="J1255" s="77">
        <f t="shared" si="188"/>
        <v>99.83686786296899</v>
      </c>
    </row>
    <row r="1256" spans="1:10" ht="25.5">
      <c r="A1256" s="9" t="s">
        <v>106</v>
      </c>
      <c r="B1256" s="12" t="s">
        <v>564</v>
      </c>
      <c r="C1256" s="12" t="s">
        <v>72</v>
      </c>
      <c r="D1256" s="12" t="s">
        <v>70</v>
      </c>
      <c r="E1256" s="45" t="s">
        <v>648</v>
      </c>
      <c r="F1256" s="13" t="s">
        <v>107</v>
      </c>
      <c r="G1256" s="14">
        <f t="shared" si="193"/>
        <v>61.30000000000001</v>
      </c>
      <c r="H1256" s="87">
        <f t="shared" si="193"/>
        <v>61.2</v>
      </c>
      <c r="I1256" s="14">
        <f t="shared" si="187"/>
        <v>0.10000000000000853</v>
      </c>
      <c r="J1256" s="77">
        <f t="shared" si="188"/>
        <v>99.83686786296899</v>
      </c>
    </row>
    <row r="1257" spans="1:10" ht="25.5">
      <c r="A1257" s="9" t="s">
        <v>108</v>
      </c>
      <c r="B1257" s="12" t="s">
        <v>564</v>
      </c>
      <c r="C1257" s="12" t="s">
        <v>72</v>
      </c>
      <c r="D1257" s="12" t="s">
        <v>70</v>
      </c>
      <c r="E1257" s="45" t="s">
        <v>648</v>
      </c>
      <c r="F1257" s="13" t="s">
        <v>109</v>
      </c>
      <c r="G1257" s="14">
        <f>300-60-178.7</f>
        <v>61.30000000000001</v>
      </c>
      <c r="H1257" s="87">
        <v>61.2</v>
      </c>
      <c r="I1257" s="14">
        <f t="shared" si="187"/>
        <v>0.10000000000000853</v>
      </c>
      <c r="J1257" s="77">
        <f t="shared" si="188"/>
        <v>99.83686786296899</v>
      </c>
    </row>
    <row r="1258" spans="1:10" ht="25.5">
      <c r="A1258" s="9" t="s">
        <v>692</v>
      </c>
      <c r="B1258" s="12" t="s">
        <v>564</v>
      </c>
      <c r="C1258" s="12" t="s">
        <v>72</v>
      </c>
      <c r="D1258" s="12" t="s">
        <v>70</v>
      </c>
      <c r="E1258" s="45" t="s">
        <v>693</v>
      </c>
      <c r="F1258" s="13"/>
      <c r="G1258" s="14">
        <f aca="true" t="shared" si="194" ref="G1258:H1260">G1259</f>
        <v>4378.299999999999</v>
      </c>
      <c r="H1258" s="87">
        <f t="shared" si="194"/>
        <v>4378.3</v>
      </c>
      <c r="I1258" s="14">
        <f t="shared" si="187"/>
        <v>0</v>
      </c>
      <c r="J1258" s="77">
        <f t="shared" si="188"/>
        <v>100.00000000000003</v>
      </c>
    </row>
    <row r="1259" spans="1:10" ht="25.5">
      <c r="A1259" s="46" t="s">
        <v>770</v>
      </c>
      <c r="B1259" s="12" t="s">
        <v>564</v>
      </c>
      <c r="C1259" s="12" t="s">
        <v>72</v>
      </c>
      <c r="D1259" s="12" t="s">
        <v>70</v>
      </c>
      <c r="E1259" s="45" t="s">
        <v>693</v>
      </c>
      <c r="F1259" s="13" t="s">
        <v>113</v>
      </c>
      <c r="G1259" s="14">
        <f t="shared" si="194"/>
        <v>4378.299999999999</v>
      </c>
      <c r="H1259" s="87">
        <f t="shared" si="194"/>
        <v>4378.3</v>
      </c>
      <c r="I1259" s="14">
        <f t="shared" si="187"/>
        <v>0</v>
      </c>
      <c r="J1259" s="77">
        <f t="shared" si="188"/>
        <v>100.00000000000003</v>
      </c>
    </row>
    <row r="1260" spans="1:10" ht="25.5">
      <c r="A1260" s="9" t="s">
        <v>106</v>
      </c>
      <c r="B1260" s="12" t="s">
        <v>564</v>
      </c>
      <c r="C1260" s="12" t="s">
        <v>72</v>
      </c>
      <c r="D1260" s="12" t="s">
        <v>70</v>
      </c>
      <c r="E1260" s="45" t="s">
        <v>693</v>
      </c>
      <c r="F1260" s="13" t="s">
        <v>107</v>
      </c>
      <c r="G1260" s="14">
        <f t="shared" si="194"/>
        <v>4378.299999999999</v>
      </c>
      <c r="H1260" s="87">
        <f t="shared" si="194"/>
        <v>4378.3</v>
      </c>
      <c r="I1260" s="14">
        <f t="shared" si="187"/>
        <v>0</v>
      </c>
      <c r="J1260" s="77">
        <f t="shared" si="188"/>
        <v>100.00000000000003</v>
      </c>
    </row>
    <row r="1261" spans="1:10" ht="25.5">
      <c r="A1261" s="9" t="s">
        <v>108</v>
      </c>
      <c r="B1261" s="12" t="s">
        <v>564</v>
      </c>
      <c r="C1261" s="12" t="s">
        <v>72</v>
      </c>
      <c r="D1261" s="12" t="s">
        <v>70</v>
      </c>
      <c r="E1261" s="45" t="s">
        <v>693</v>
      </c>
      <c r="F1261" s="13" t="s">
        <v>109</v>
      </c>
      <c r="G1261" s="14">
        <f>235.4+4142.9</f>
        <v>4378.299999999999</v>
      </c>
      <c r="H1261" s="87">
        <v>4378.3</v>
      </c>
      <c r="I1261" s="14">
        <f t="shared" si="187"/>
        <v>0</v>
      </c>
      <c r="J1261" s="77">
        <f t="shared" si="188"/>
        <v>100.00000000000003</v>
      </c>
    </row>
    <row r="1262" spans="1:10" ht="25.5">
      <c r="A1262" s="9" t="s">
        <v>694</v>
      </c>
      <c r="B1262" s="12" t="s">
        <v>564</v>
      </c>
      <c r="C1262" s="12" t="s">
        <v>72</v>
      </c>
      <c r="D1262" s="12" t="s">
        <v>70</v>
      </c>
      <c r="E1262" s="45" t="s">
        <v>695</v>
      </c>
      <c r="F1262" s="13"/>
      <c r="G1262" s="14">
        <f aca="true" t="shared" si="195" ref="G1262:H1264">G1263</f>
        <v>100</v>
      </c>
      <c r="H1262" s="87">
        <f t="shared" si="195"/>
        <v>100</v>
      </c>
      <c r="I1262" s="14">
        <f t="shared" si="187"/>
        <v>0</v>
      </c>
      <c r="J1262" s="77">
        <f t="shared" si="188"/>
        <v>100</v>
      </c>
    </row>
    <row r="1263" spans="1:10" ht="25.5">
      <c r="A1263" s="46" t="s">
        <v>770</v>
      </c>
      <c r="B1263" s="12" t="s">
        <v>564</v>
      </c>
      <c r="C1263" s="12" t="s">
        <v>72</v>
      </c>
      <c r="D1263" s="12" t="s">
        <v>70</v>
      </c>
      <c r="E1263" s="45" t="s">
        <v>695</v>
      </c>
      <c r="F1263" s="13" t="s">
        <v>113</v>
      </c>
      <c r="G1263" s="14">
        <f t="shared" si="195"/>
        <v>100</v>
      </c>
      <c r="H1263" s="87">
        <f t="shared" si="195"/>
        <v>100</v>
      </c>
      <c r="I1263" s="14">
        <f t="shared" si="187"/>
        <v>0</v>
      </c>
      <c r="J1263" s="77">
        <f t="shared" si="188"/>
        <v>100</v>
      </c>
    </row>
    <row r="1264" spans="1:10" ht="25.5">
      <c r="A1264" s="9" t="s">
        <v>106</v>
      </c>
      <c r="B1264" s="12" t="s">
        <v>564</v>
      </c>
      <c r="C1264" s="12" t="s">
        <v>72</v>
      </c>
      <c r="D1264" s="12" t="s">
        <v>70</v>
      </c>
      <c r="E1264" s="45" t="s">
        <v>695</v>
      </c>
      <c r="F1264" s="13" t="s">
        <v>107</v>
      </c>
      <c r="G1264" s="14">
        <f t="shared" si="195"/>
        <v>100</v>
      </c>
      <c r="H1264" s="87">
        <f t="shared" si="195"/>
        <v>100</v>
      </c>
      <c r="I1264" s="14">
        <f t="shared" si="187"/>
        <v>0</v>
      </c>
      <c r="J1264" s="77">
        <f t="shared" si="188"/>
        <v>100</v>
      </c>
    </row>
    <row r="1265" spans="1:10" ht="25.5">
      <c r="A1265" s="9" t="s">
        <v>108</v>
      </c>
      <c r="B1265" s="12" t="s">
        <v>564</v>
      </c>
      <c r="C1265" s="12" t="s">
        <v>72</v>
      </c>
      <c r="D1265" s="12" t="s">
        <v>70</v>
      </c>
      <c r="E1265" s="45" t="s">
        <v>695</v>
      </c>
      <c r="F1265" s="13" t="s">
        <v>109</v>
      </c>
      <c r="G1265" s="14">
        <v>100</v>
      </c>
      <c r="H1265" s="87">
        <v>100</v>
      </c>
      <c r="I1265" s="14">
        <f t="shared" si="187"/>
        <v>0</v>
      </c>
      <c r="J1265" s="77">
        <f t="shared" si="188"/>
        <v>100</v>
      </c>
    </row>
    <row r="1266" spans="1:10" ht="12.75">
      <c r="A1266" s="67" t="s">
        <v>618</v>
      </c>
      <c r="B1266" s="12" t="s">
        <v>564</v>
      </c>
      <c r="C1266" s="12" t="s">
        <v>72</v>
      </c>
      <c r="D1266" s="12" t="s">
        <v>70</v>
      </c>
      <c r="E1266" s="13" t="s">
        <v>619</v>
      </c>
      <c r="F1266" s="32"/>
      <c r="G1266" s="14">
        <f aca="true" t="shared" si="196" ref="G1266:H1268">G1267</f>
        <v>360</v>
      </c>
      <c r="H1266" s="87">
        <f t="shared" si="196"/>
        <v>209.6</v>
      </c>
      <c r="I1266" s="14">
        <f t="shared" si="187"/>
        <v>150.4</v>
      </c>
      <c r="J1266" s="77">
        <f t="shared" si="188"/>
        <v>58.22222222222222</v>
      </c>
    </row>
    <row r="1267" spans="1:10" ht="12.75">
      <c r="A1267" s="9" t="s">
        <v>725</v>
      </c>
      <c r="B1267" s="12" t="s">
        <v>564</v>
      </c>
      <c r="C1267" s="12" t="s">
        <v>72</v>
      </c>
      <c r="D1267" s="12" t="s">
        <v>70</v>
      </c>
      <c r="E1267" s="13" t="s">
        <v>726</v>
      </c>
      <c r="F1267" s="13"/>
      <c r="G1267" s="14">
        <f t="shared" si="196"/>
        <v>360</v>
      </c>
      <c r="H1267" s="87">
        <f t="shared" si="196"/>
        <v>209.6</v>
      </c>
      <c r="I1267" s="14">
        <f t="shared" si="187"/>
        <v>150.4</v>
      </c>
      <c r="J1267" s="77">
        <f t="shared" si="188"/>
        <v>58.22222222222222</v>
      </c>
    </row>
    <row r="1268" spans="1:10" ht="12.75">
      <c r="A1268" s="9" t="s">
        <v>137</v>
      </c>
      <c r="B1268" s="12" t="s">
        <v>564</v>
      </c>
      <c r="C1268" s="12" t="s">
        <v>72</v>
      </c>
      <c r="D1268" s="12" t="s">
        <v>70</v>
      </c>
      <c r="E1268" s="13" t="s">
        <v>726</v>
      </c>
      <c r="F1268" s="13" t="s">
        <v>138</v>
      </c>
      <c r="G1268" s="14">
        <f t="shared" si="196"/>
        <v>360</v>
      </c>
      <c r="H1268" s="87">
        <f t="shared" si="196"/>
        <v>209.6</v>
      </c>
      <c r="I1268" s="14">
        <f t="shared" si="187"/>
        <v>150.4</v>
      </c>
      <c r="J1268" s="77">
        <f t="shared" si="188"/>
        <v>58.22222222222222</v>
      </c>
    </row>
    <row r="1269" spans="1:10" ht="25.5">
      <c r="A1269" s="9" t="s">
        <v>182</v>
      </c>
      <c r="B1269" s="12" t="s">
        <v>564</v>
      </c>
      <c r="C1269" s="12" t="s">
        <v>72</v>
      </c>
      <c r="D1269" s="12" t="s">
        <v>70</v>
      </c>
      <c r="E1269" s="13" t="s">
        <v>726</v>
      </c>
      <c r="F1269" s="13" t="s">
        <v>139</v>
      </c>
      <c r="G1269" s="14">
        <f>300+60</f>
        <v>360</v>
      </c>
      <c r="H1269" s="87">
        <v>209.6</v>
      </c>
      <c r="I1269" s="14">
        <f t="shared" si="187"/>
        <v>150.4</v>
      </c>
      <c r="J1269" s="77">
        <f t="shared" si="188"/>
        <v>58.22222222222222</v>
      </c>
    </row>
    <row r="1270" spans="1:10" ht="12.75">
      <c r="A1270" s="8" t="s">
        <v>62</v>
      </c>
      <c r="B1270" s="29" t="s">
        <v>564</v>
      </c>
      <c r="C1270" s="29" t="s">
        <v>71</v>
      </c>
      <c r="D1270" s="29" t="s">
        <v>36</v>
      </c>
      <c r="E1270" s="45"/>
      <c r="F1270" s="13"/>
      <c r="G1270" s="30">
        <f aca="true" t="shared" si="197" ref="G1270:H1275">G1271</f>
        <v>4400.7</v>
      </c>
      <c r="H1270" s="105">
        <f t="shared" si="197"/>
        <v>4400.6</v>
      </c>
      <c r="I1270" s="30">
        <f t="shared" si="187"/>
        <v>0.0999999999994543</v>
      </c>
      <c r="J1270" s="82">
        <f t="shared" si="188"/>
        <v>99.99772763424002</v>
      </c>
    </row>
    <row r="1271" spans="1:10" ht="12.75">
      <c r="A1271" s="74" t="s">
        <v>61</v>
      </c>
      <c r="B1271" s="29" t="s">
        <v>564</v>
      </c>
      <c r="C1271" s="29" t="s">
        <v>71</v>
      </c>
      <c r="D1271" s="29" t="s">
        <v>70</v>
      </c>
      <c r="E1271" s="45"/>
      <c r="F1271" s="13"/>
      <c r="G1271" s="30">
        <f t="shared" si="197"/>
        <v>4400.7</v>
      </c>
      <c r="H1271" s="105">
        <f t="shared" si="197"/>
        <v>4400.6</v>
      </c>
      <c r="I1271" s="30">
        <f t="shared" si="187"/>
        <v>0.0999999999994543</v>
      </c>
      <c r="J1271" s="82">
        <f t="shared" si="188"/>
        <v>99.99772763424002</v>
      </c>
    </row>
    <row r="1272" spans="1:10" ht="75" customHeight="1">
      <c r="A1272" s="67" t="s">
        <v>740</v>
      </c>
      <c r="B1272" s="12" t="s">
        <v>564</v>
      </c>
      <c r="C1272" s="12" t="s">
        <v>71</v>
      </c>
      <c r="D1272" s="12" t="s">
        <v>70</v>
      </c>
      <c r="E1272" s="13" t="s">
        <v>588</v>
      </c>
      <c r="F1272" s="13"/>
      <c r="G1272" s="14">
        <f t="shared" si="197"/>
        <v>4400.7</v>
      </c>
      <c r="H1272" s="87">
        <f t="shared" si="197"/>
        <v>4400.6</v>
      </c>
      <c r="I1272" s="14">
        <f t="shared" si="187"/>
        <v>0.0999999999994543</v>
      </c>
      <c r="J1272" s="77">
        <f t="shared" si="188"/>
        <v>99.99772763424002</v>
      </c>
    </row>
    <row r="1273" spans="1:10" ht="12.75">
      <c r="A1273" s="9" t="s">
        <v>727</v>
      </c>
      <c r="B1273" s="12" t="s">
        <v>564</v>
      </c>
      <c r="C1273" s="12" t="s">
        <v>71</v>
      </c>
      <c r="D1273" s="12" t="s">
        <v>70</v>
      </c>
      <c r="E1273" s="13" t="s">
        <v>728</v>
      </c>
      <c r="F1273" s="13"/>
      <c r="G1273" s="14">
        <f t="shared" si="197"/>
        <v>4400.7</v>
      </c>
      <c r="H1273" s="87">
        <f t="shared" si="197"/>
        <v>4400.6</v>
      </c>
      <c r="I1273" s="14">
        <f t="shared" si="187"/>
        <v>0.0999999999994543</v>
      </c>
      <c r="J1273" s="77">
        <f t="shared" si="188"/>
        <v>99.99772763424002</v>
      </c>
    </row>
    <row r="1274" spans="1:10" ht="12.75">
      <c r="A1274" s="9" t="s">
        <v>126</v>
      </c>
      <c r="B1274" s="12" t="s">
        <v>564</v>
      </c>
      <c r="C1274" s="12" t="s">
        <v>71</v>
      </c>
      <c r="D1274" s="12" t="s">
        <v>70</v>
      </c>
      <c r="E1274" s="13" t="s">
        <v>728</v>
      </c>
      <c r="F1274" s="13" t="s">
        <v>127</v>
      </c>
      <c r="G1274" s="14">
        <f t="shared" si="197"/>
        <v>4400.7</v>
      </c>
      <c r="H1274" s="87">
        <f t="shared" si="197"/>
        <v>4400.6</v>
      </c>
      <c r="I1274" s="14">
        <f t="shared" si="187"/>
        <v>0.0999999999994543</v>
      </c>
      <c r="J1274" s="77">
        <f t="shared" si="188"/>
        <v>99.99772763424002</v>
      </c>
    </row>
    <row r="1275" spans="1:10" ht="12.75">
      <c r="A1275" s="9" t="s">
        <v>146</v>
      </c>
      <c r="B1275" s="12" t="s">
        <v>564</v>
      </c>
      <c r="C1275" s="12" t="s">
        <v>71</v>
      </c>
      <c r="D1275" s="12" t="s">
        <v>70</v>
      </c>
      <c r="E1275" s="13" t="s">
        <v>728</v>
      </c>
      <c r="F1275" s="13" t="s">
        <v>145</v>
      </c>
      <c r="G1275" s="14">
        <f t="shared" si="197"/>
        <v>4400.7</v>
      </c>
      <c r="H1275" s="87">
        <f t="shared" si="197"/>
        <v>4400.6</v>
      </c>
      <c r="I1275" s="14">
        <f t="shared" si="187"/>
        <v>0.0999999999994543</v>
      </c>
      <c r="J1275" s="77">
        <f t="shared" si="188"/>
        <v>99.99772763424002</v>
      </c>
    </row>
    <row r="1276" spans="1:10" ht="12.75">
      <c r="A1276" s="9" t="s">
        <v>738</v>
      </c>
      <c r="B1276" s="12" t="s">
        <v>564</v>
      </c>
      <c r="C1276" s="12" t="s">
        <v>71</v>
      </c>
      <c r="D1276" s="12" t="s">
        <v>70</v>
      </c>
      <c r="E1276" s="13" t="s">
        <v>728</v>
      </c>
      <c r="F1276" s="13" t="s">
        <v>739</v>
      </c>
      <c r="G1276" s="14">
        <f>4400.6+399.4-399.3</f>
        <v>4400.7</v>
      </c>
      <c r="H1276" s="87">
        <v>4400.6</v>
      </c>
      <c r="I1276" s="14">
        <f t="shared" si="187"/>
        <v>0.0999999999994543</v>
      </c>
      <c r="J1276" s="77">
        <f t="shared" si="188"/>
        <v>99.99772763424002</v>
      </c>
    </row>
    <row r="1277" spans="1:10" ht="12.75">
      <c r="A1277" s="65" t="s">
        <v>77</v>
      </c>
      <c r="B1277" s="37"/>
      <c r="C1277" s="29"/>
      <c r="D1277" s="29"/>
      <c r="E1277" s="29"/>
      <c r="F1277" s="29"/>
      <c r="G1277" s="30">
        <f>G10+G316+G352+G401+G480+G813+G1150</f>
        <v>860890.7999999999</v>
      </c>
      <c r="H1277" s="105">
        <f>H10+H316+H352+H401+H480+H813+H1150</f>
        <v>844026.23</v>
      </c>
      <c r="I1277" s="30">
        <f t="shared" si="187"/>
        <v>16864.56999999995</v>
      </c>
      <c r="J1277" s="82">
        <f t="shared" si="188"/>
        <v>98.04103261412482</v>
      </c>
    </row>
    <row r="1278" spans="1:7" ht="12.75">
      <c r="A1278" s="15"/>
      <c r="B1278" s="41"/>
      <c r="C1278" s="42"/>
      <c r="D1278" s="42"/>
      <c r="E1278" s="42"/>
      <c r="F1278" s="42"/>
      <c r="G1278" s="42"/>
    </row>
    <row r="1279" spans="1:7" ht="12.75">
      <c r="A1279" s="28"/>
      <c r="B1279" s="43"/>
      <c r="C1279" s="44"/>
      <c r="D1279" s="44"/>
      <c r="E1279" s="44"/>
      <c r="F1279" s="44"/>
      <c r="G1279" s="44"/>
    </row>
    <row r="1280" spans="1:7" ht="12.75">
      <c r="A1280" s="28"/>
      <c r="B1280" s="43"/>
      <c r="C1280" s="44"/>
      <c r="D1280" s="44"/>
      <c r="E1280" s="44"/>
      <c r="F1280" s="44"/>
      <c r="G1280" s="44"/>
    </row>
    <row r="1281" spans="1:7" ht="12.75">
      <c r="A1281" s="28"/>
      <c r="B1281" s="43"/>
      <c r="C1281" s="44"/>
      <c r="D1281" s="44"/>
      <c r="E1281" s="44"/>
      <c r="F1281" s="44"/>
      <c r="G1281" s="44"/>
    </row>
    <row r="1282" spans="1:7" ht="12.75">
      <c r="A1282" s="28"/>
      <c r="B1282" s="43"/>
      <c r="C1282" s="44"/>
      <c r="D1282" s="44"/>
      <c r="E1282" s="44"/>
      <c r="F1282" s="44"/>
      <c r="G1282" s="44"/>
    </row>
    <row r="1283" spans="1:7" ht="12.75">
      <c r="A1283" s="28"/>
      <c r="B1283" s="43"/>
      <c r="C1283" s="44"/>
      <c r="D1283" s="44"/>
      <c r="E1283" s="44"/>
      <c r="F1283" s="44"/>
      <c r="G1283" s="44"/>
    </row>
    <row r="1284" spans="1:7" ht="12.75">
      <c r="A1284" s="28"/>
      <c r="B1284" s="43"/>
      <c r="C1284" s="44"/>
      <c r="D1284" s="44"/>
      <c r="E1284" s="44"/>
      <c r="F1284" s="44"/>
      <c r="G1284" s="44"/>
    </row>
  </sheetData>
  <sheetProtection/>
  <mergeCells count="5">
    <mergeCell ref="A1:J1"/>
    <mergeCell ref="A2:J2"/>
    <mergeCell ref="A3:J3"/>
    <mergeCell ref="A4:J4"/>
    <mergeCell ref="A6:J6"/>
  </mergeCells>
  <printOptions/>
  <pageMargins left="1.43" right="0.3937007874015748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4"/>
  <sheetViews>
    <sheetView zoomScale="118" zoomScaleNormal="118" zoomScalePageLayoutView="0" workbookViewId="0" topLeftCell="A1">
      <selection activeCell="M11" sqref="M11"/>
    </sheetView>
  </sheetViews>
  <sheetFormatPr defaultColWidth="9.00390625" defaultRowHeight="12.75"/>
  <cols>
    <col min="1" max="1" width="36.625" style="179" customWidth="1"/>
    <col min="2" max="2" width="12.375" style="189" customWidth="1"/>
    <col min="3" max="5" width="4.375" style="189" customWidth="1"/>
    <col min="6" max="6" width="4.25390625" style="189" customWidth="1"/>
    <col min="7" max="7" width="7.625" style="190" customWidth="1"/>
    <col min="8" max="8" width="8.00390625" style="190" customWidth="1"/>
    <col min="9" max="9" width="6.875" style="190" customWidth="1"/>
    <col min="10" max="10" width="5.75390625" style="190" customWidth="1"/>
    <col min="11" max="13" width="9.125" style="178" customWidth="1"/>
    <col min="14" max="16384" width="9.125" style="179" customWidth="1"/>
  </cols>
  <sheetData>
    <row r="1" spans="1:11" ht="12.75">
      <c r="A1" s="261" t="s">
        <v>871</v>
      </c>
      <c r="B1" s="262"/>
      <c r="C1" s="262"/>
      <c r="D1" s="262"/>
      <c r="E1" s="262"/>
      <c r="F1" s="262"/>
      <c r="G1" s="262"/>
      <c r="H1" s="262"/>
      <c r="I1" s="262"/>
      <c r="J1" s="262"/>
      <c r="K1" s="177"/>
    </row>
    <row r="2" spans="1:11" ht="12.75">
      <c r="A2" s="263" t="s">
        <v>872</v>
      </c>
      <c r="B2" s="264"/>
      <c r="C2" s="264"/>
      <c r="D2" s="264"/>
      <c r="E2" s="264"/>
      <c r="F2" s="264"/>
      <c r="G2" s="264"/>
      <c r="H2" s="264"/>
      <c r="I2" s="264"/>
      <c r="J2" s="264"/>
      <c r="K2" s="158"/>
    </row>
    <row r="3" spans="1:11" ht="12.75">
      <c r="A3" s="263" t="s">
        <v>789</v>
      </c>
      <c r="B3" s="264"/>
      <c r="C3" s="264"/>
      <c r="D3" s="264"/>
      <c r="E3" s="264"/>
      <c r="F3" s="264"/>
      <c r="G3" s="264"/>
      <c r="H3" s="264"/>
      <c r="I3" s="264"/>
      <c r="J3" s="264"/>
      <c r="K3" s="158"/>
    </row>
    <row r="4" spans="1:11" ht="13.5" customHeight="1">
      <c r="A4" s="263" t="s">
        <v>887</v>
      </c>
      <c r="B4" s="264"/>
      <c r="C4" s="264"/>
      <c r="D4" s="264"/>
      <c r="E4" s="264"/>
      <c r="F4" s="264"/>
      <c r="G4" s="264"/>
      <c r="H4" s="264"/>
      <c r="I4" s="264"/>
      <c r="J4" s="264"/>
      <c r="K4" s="158"/>
    </row>
    <row r="5" spans="1:13" s="5" customFormat="1" ht="21" customHeight="1">
      <c r="A5" s="265" t="s">
        <v>873</v>
      </c>
      <c r="B5" s="265"/>
      <c r="C5" s="265"/>
      <c r="D5" s="265"/>
      <c r="E5" s="265"/>
      <c r="F5" s="265"/>
      <c r="G5" s="265"/>
      <c r="H5" s="266"/>
      <c r="I5" s="266"/>
      <c r="J5" s="266"/>
      <c r="K5" s="7"/>
      <c r="L5" s="7"/>
      <c r="M5" s="7"/>
    </row>
    <row r="6" spans="1:13" s="5" customFormat="1" ht="12.75">
      <c r="A6" s="199"/>
      <c r="B6" s="200"/>
      <c r="C6" s="200"/>
      <c r="D6" s="200"/>
      <c r="E6" s="200"/>
      <c r="F6" s="200"/>
      <c r="G6" s="199"/>
      <c r="H6" s="199"/>
      <c r="I6" s="200" t="s">
        <v>809</v>
      </c>
      <c r="J6" s="200"/>
      <c r="K6" s="7"/>
      <c r="L6" s="7"/>
      <c r="M6" s="7"/>
    </row>
    <row r="7" spans="1:13" s="5" customFormat="1" ht="44.25" customHeight="1">
      <c r="A7" s="201" t="s">
        <v>32</v>
      </c>
      <c r="B7" s="202" t="s">
        <v>47</v>
      </c>
      <c r="C7" s="202" t="s">
        <v>46</v>
      </c>
      <c r="D7" s="202" t="s">
        <v>45</v>
      </c>
      <c r="E7" s="201" t="s">
        <v>48</v>
      </c>
      <c r="F7" s="201" t="s">
        <v>0</v>
      </c>
      <c r="G7" s="203" t="s">
        <v>774</v>
      </c>
      <c r="H7" s="204" t="s">
        <v>779</v>
      </c>
      <c r="I7" s="205" t="s">
        <v>776</v>
      </c>
      <c r="J7" s="205" t="s">
        <v>780</v>
      </c>
      <c r="K7" s="7"/>
      <c r="L7" s="7"/>
      <c r="M7" s="7"/>
    </row>
    <row r="8" spans="1:13" s="5" customFormat="1" ht="12.75">
      <c r="A8" s="206">
        <v>1</v>
      </c>
      <c r="B8" s="202">
        <v>2</v>
      </c>
      <c r="C8" s="202">
        <v>3</v>
      </c>
      <c r="D8" s="202">
        <v>4</v>
      </c>
      <c r="E8" s="201">
        <v>5</v>
      </c>
      <c r="F8" s="201">
        <v>6</v>
      </c>
      <c r="G8" s="201">
        <v>7</v>
      </c>
      <c r="H8" s="201">
        <v>8</v>
      </c>
      <c r="I8" s="201">
        <v>9</v>
      </c>
      <c r="J8" s="201">
        <v>10</v>
      </c>
      <c r="K8" s="7"/>
      <c r="L8" s="7"/>
      <c r="M8" s="7"/>
    </row>
    <row r="9" spans="1:13" s="5" customFormat="1" ht="45.75" customHeight="1">
      <c r="A9" s="207" t="s">
        <v>500</v>
      </c>
      <c r="B9" s="202" t="s">
        <v>673</v>
      </c>
      <c r="C9" s="202"/>
      <c r="D9" s="202"/>
      <c r="E9" s="201"/>
      <c r="F9" s="201"/>
      <c r="G9" s="208">
        <f aca="true" t="shared" si="0" ref="G9:H14">G10</f>
        <v>800</v>
      </c>
      <c r="H9" s="208">
        <f t="shared" si="0"/>
        <v>800</v>
      </c>
      <c r="I9" s="208">
        <f aca="true" t="shared" si="1" ref="I9:I72">G9-H9</f>
        <v>0</v>
      </c>
      <c r="J9" s="208">
        <f aca="true" t="shared" si="2" ref="J9:J72">H9/G9*100</f>
        <v>100</v>
      </c>
      <c r="K9" s="180"/>
      <c r="L9" s="7"/>
      <c r="M9" s="7"/>
    </row>
    <row r="10" spans="1:13" s="5" customFormat="1" ht="47.25" customHeight="1">
      <c r="A10" s="207" t="s">
        <v>353</v>
      </c>
      <c r="B10" s="202" t="s">
        <v>674</v>
      </c>
      <c r="C10" s="202"/>
      <c r="D10" s="202"/>
      <c r="E10" s="201"/>
      <c r="F10" s="201"/>
      <c r="G10" s="208">
        <f t="shared" si="0"/>
        <v>800</v>
      </c>
      <c r="H10" s="208">
        <f t="shared" si="0"/>
        <v>800</v>
      </c>
      <c r="I10" s="208">
        <f t="shared" si="1"/>
        <v>0</v>
      </c>
      <c r="J10" s="208">
        <f t="shared" si="2"/>
        <v>100</v>
      </c>
      <c r="K10" s="180"/>
      <c r="L10" s="7"/>
      <c r="M10" s="7"/>
    </row>
    <row r="11" spans="1:13" s="5" customFormat="1" ht="21.75" customHeight="1">
      <c r="A11" s="207" t="s">
        <v>196</v>
      </c>
      <c r="B11" s="202" t="s">
        <v>675</v>
      </c>
      <c r="C11" s="202"/>
      <c r="D11" s="202"/>
      <c r="E11" s="201"/>
      <c r="F11" s="201"/>
      <c r="G11" s="208">
        <f t="shared" si="0"/>
        <v>800</v>
      </c>
      <c r="H11" s="208">
        <f t="shared" si="0"/>
        <v>800</v>
      </c>
      <c r="I11" s="208">
        <f t="shared" si="1"/>
        <v>0</v>
      </c>
      <c r="J11" s="208">
        <f t="shared" si="2"/>
        <v>100</v>
      </c>
      <c r="K11" s="180"/>
      <c r="L11" s="7"/>
      <c r="M11" s="7"/>
    </row>
    <row r="12" spans="1:13" s="5" customFormat="1" ht="12.75">
      <c r="A12" s="207" t="s">
        <v>5</v>
      </c>
      <c r="B12" s="202" t="s">
        <v>675</v>
      </c>
      <c r="C12" s="209" t="s">
        <v>68</v>
      </c>
      <c r="D12" s="209" t="s">
        <v>36</v>
      </c>
      <c r="E12" s="210"/>
      <c r="F12" s="210"/>
      <c r="G12" s="208">
        <f t="shared" si="0"/>
        <v>800</v>
      </c>
      <c r="H12" s="208">
        <f t="shared" si="0"/>
        <v>800</v>
      </c>
      <c r="I12" s="208">
        <f t="shared" si="1"/>
        <v>0</v>
      </c>
      <c r="J12" s="208">
        <f t="shared" si="2"/>
        <v>100</v>
      </c>
      <c r="K12" s="7"/>
      <c r="L12" s="7"/>
      <c r="M12" s="7"/>
    </row>
    <row r="13" spans="1:13" s="5" customFormat="1" ht="15.75" customHeight="1">
      <c r="A13" s="211" t="s">
        <v>7</v>
      </c>
      <c r="B13" s="212" t="s">
        <v>675</v>
      </c>
      <c r="C13" s="213" t="s">
        <v>68</v>
      </c>
      <c r="D13" s="213" t="s">
        <v>78</v>
      </c>
      <c r="E13" s="210"/>
      <c r="F13" s="210"/>
      <c r="G13" s="214">
        <f t="shared" si="0"/>
        <v>800</v>
      </c>
      <c r="H13" s="214">
        <f t="shared" si="0"/>
        <v>800</v>
      </c>
      <c r="I13" s="214">
        <f t="shared" si="1"/>
        <v>0</v>
      </c>
      <c r="J13" s="214">
        <f t="shared" si="2"/>
        <v>100</v>
      </c>
      <c r="K13" s="7"/>
      <c r="L13" s="7"/>
      <c r="M13" s="7"/>
    </row>
    <row r="14" spans="1:13" s="23" customFormat="1" ht="15" customHeight="1">
      <c r="A14" s="215" t="s">
        <v>137</v>
      </c>
      <c r="B14" s="212" t="s">
        <v>675</v>
      </c>
      <c r="C14" s="213" t="s">
        <v>68</v>
      </c>
      <c r="D14" s="213" t="s">
        <v>78</v>
      </c>
      <c r="E14" s="216" t="s">
        <v>138</v>
      </c>
      <c r="F14" s="210"/>
      <c r="G14" s="214">
        <f t="shared" si="0"/>
        <v>800</v>
      </c>
      <c r="H14" s="214">
        <f t="shared" si="0"/>
        <v>800</v>
      </c>
      <c r="I14" s="214">
        <f t="shared" si="1"/>
        <v>0</v>
      </c>
      <c r="J14" s="214">
        <f t="shared" si="2"/>
        <v>100</v>
      </c>
      <c r="K14" s="7"/>
      <c r="L14" s="7"/>
      <c r="M14" s="7"/>
    </row>
    <row r="15" spans="1:13" s="23" customFormat="1" ht="48" customHeight="1">
      <c r="A15" s="215" t="s">
        <v>182</v>
      </c>
      <c r="B15" s="212" t="s">
        <v>675</v>
      </c>
      <c r="C15" s="213" t="s">
        <v>68</v>
      </c>
      <c r="D15" s="213" t="s">
        <v>78</v>
      </c>
      <c r="E15" s="216" t="s">
        <v>139</v>
      </c>
      <c r="F15" s="210"/>
      <c r="G15" s="214">
        <f>G16</f>
        <v>800</v>
      </c>
      <c r="H15" s="214">
        <f>H16</f>
        <v>800</v>
      </c>
      <c r="I15" s="214">
        <f t="shared" si="1"/>
        <v>0</v>
      </c>
      <c r="J15" s="214">
        <f t="shared" si="2"/>
        <v>100</v>
      </c>
      <c r="K15" s="7"/>
      <c r="L15" s="7"/>
      <c r="M15" s="7"/>
    </row>
    <row r="16" spans="1:13" s="23" customFormat="1" ht="24.75" customHeight="1">
      <c r="A16" s="215" t="s">
        <v>185</v>
      </c>
      <c r="B16" s="212" t="s">
        <v>675</v>
      </c>
      <c r="C16" s="213" t="s">
        <v>68</v>
      </c>
      <c r="D16" s="213" t="s">
        <v>78</v>
      </c>
      <c r="E16" s="216" t="s">
        <v>139</v>
      </c>
      <c r="F16" s="210">
        <v>724</v>
      </c>
      <c r="G16" s="214">
        <f>400+400</f>
        <v>800</v>
      </c>
      <c r="H16" s="214">
        <v>800</v>
      </c>
      <c r="I16" s="214">
        <f t="shared" si="1"/>
        <v>0</v>
      </c>
      <c r="J16" s="214">
        <f t="shared" si="2"/>
        <v>100</v>
      </c>
      <c r="K16" s="7"/>
      <c r="L16" s="7"/>
      <c r="M16" s="7"/>
    </row>
    <row r="17" spans="1:13" s="5" customFormat="1" ht="34.5" customHeight="1">
      <c r="A17" s="207" t="s">
        <v>565</v>
      </c>
      <c r="B17" s="202" t="s">
        <v>186</v>
      </c>
      <c r="C17" s="209"/>
      <c r="D17" s="209"/>
      <c r="E17" s="210"/>
      <c r="F17" s="210"/>
      <c r="G17" s="208">
        <f>G18</f>
        <v>841.5000000000001</v>
      </c>
      <c r="H17" s="208">
        <f>H18</f>
        <v>838.4000000000001</v>
      </c>
      <c r="I17" s="208">
        <f t="shared" si="1"/>
        <v>3.1000000000000227</v>
      </c>
      <c r="J17" s="208">
        <f t="shared" si="2"/>
        <v>99.63161021984551</v>
      </c>
      <c r="K17" s="180"/>
      <c r="L17" s="7"/>
      <c r="M17" s="7"/>
    </row>
    <row r="18" spans="1:13" s="5" customFormat="1" ht="25.5" customHeight="1">
      <c r="A18" s="207" t="s">
        <v>874</v>
      </c>
      <c r="B18" s="202" t="s">
        <v>436</v>
      </c>
      <c r="C18" s="209"/>
      <c r="D18" s="209"/>
      <c r="E18" s="201"/>
      <c r="F18" s="201"/>
      <c r="G18" s="208">
        <f>G19+G25+G31+G37</f>
        <v>841.5000000000001</v>
      </c>
      <c r="H18" s="208">
        <f>H19+H25+H31+H37</f>
        <v>838.4000000000001</v>
      </c>
      <c r="I18" s="208">
        <f t="shared" si="1"/>
        <v>3.1000000000000227</v>
      </c>
      <c r="J18" s="208">
        <f t="shared" si="2"/>
        <v>99.63161021984551</v>
      </c>
      <c r="K18" s="180"/>
      <c r="L18" s="7"/>
      <c r="M18" s="7"/>
    </row>
    <row r="19" spans="1:13" s="5" customFormat="1" ht="22.5" customHeight="1">
      <c r="A19" s="207" t="s">
        <v>187</v>
      </c>
      <c r="B19" s="202" t="s">
        <v>437</v>
      </c>
      <c r="C19" s="209"/>
      <c r="D19" s="209"/>
      <c r="E19" s="201"/>
      <c r="F19" s="201"/>
      <c r="G19" s="208">
        <f aca="true" t="shared" si="3" ref="G19:H23">G20</f>
        <v>623.7</v>
      </c>
      <c r="H19" s="208">
        <f t="shared" si="3"/>
        <v>620.7</v>
      </c>
      <c r="I19" s="208">
        <f t="shared" si="1"/>
        <v>3</v>
      </c>
      <c r="J19" s="208">
        <f t="shared" si="2"/>
        <v>99.51899951899952</v>
      </c>
      <c r="K19" s="180"/>
      <c r="L19" s="7"/>
      <c r="M19" s="7"/>
    </row>
    <row r="20" spans="1:13" s="5" customFormat="1" ht="12.75">
      <c r="A20" s="207" t="s">
        <v>62</v>
      </c>
      <c r="B20" s="202" t="s">
        <v>437</v>
      </c>
      <c r="C20" s="209">
        <v>10</v>
      </c>
      <c r="D20" s="209" t="s">
        <v>36</v>
      </c>
      <c r="E20" s="210"/>
      <c r="F20" s="210"/>
      <c r="G20" s="208">
        <f t="shared" si="3"/>
        <v>623.7</v>
      </c>
      <c r="H20" s="208">
        <f t="shared" si="3"/>
        <v>620.7</v>
      </c>
      <c r="I20" s="208">
        <f t="shared" si="1"/>
        <v>3</v>
      </c>
      <c r="J20" s="208">
        <f t="shared" si="2"/>
        <v>99.51899951899952</v>
      </c>
      <c r="K20" s="7"/>
      <c r="L20" s="7"/>
      <c r="M20" s="7"/>
    </row>
    <row r="21" spans="1:13" s="5" customFormat="1" ht="12.75">
      <c r="A21" s="211" t="s">
        <v>61</v>
      </c>
      <c r="B21" s="212" t="s">
        <v>437</v>
      </c>
      <c r="C21" s="213">
        <v>10</v>
      </c>
      <c r="D21" s="213" t="s">
        <v>70</v>
      </c>
      <c r="E21" s="210"/>
      <c r="F21" s="210"/>
      <c r="G21" s="214">
        <f t="shared" si="3"/>
        <v>623.7</v>
      </c>
      <c r="H21" s="214">
        <f t="shared" si="3"/>
        <v>620.7</v>
      </c>
      <c r="I21" s="214">
        <f t="shared" si="1"/>
        <v>3</v>
      </c>
      <c r="J21" s="214">
        <f t="shared" si="2"/>
        <v>99.51899951899952</v>
      </c>
      <c r="K21" s="7"/>
      <c r="L21" s="7"/>
      <c r="M21" s="7"/>
    </row>
    <row r="22" spans="1:13" s="5" customFormat="1" ht="15" customHeight="1">
      <c r="A22" s="215" t="s">
        <v>126</v>
      </c>
      <c r="B22" s="212" t="s">
        <v>437</v>
      </c>
      <c r="C22" s="213">
        <v>10</v>
      </c>
      <c r="D22" s="213" t="s">
        <v>70</v>
      </c>
      <c r="E22" s="216" t="s">
        <v>127</v>
      </c>
      <c r="F22" s="210"/>
      <c r="G22" s="214">
        <f t="shared" si="3"/>
        <v>623.7</v>
      </c>
      <c r="H22" s="214">
        <f t="shared" si="3"/>
        <v>620.7</v>
      </c>
      <c r="I22" s="214">
        <f t="shared" si="1"/>
        <v>3</v>
      </c>
      <c r="J22" s="214">
        <f t="shared" si="2"/>
        <v>99.51899951899952</v>
      </c>
      <c r="K22" s="7"/>
      <c r="L22" s="7"/>
      <c r="M22" s="7"/>
    </row>
    <row r="23" spans="1:13" s="5" customFormat="1" ht="12.75">
      <c r="A23" s="215" t="s">
        <v>132</v>
      </c>
      <c r="B23" s="212" t="s">
        <v>437</v>
      </c>
      <c r="C23" s="213">
        <v>10</v>
      </c>
      <c r="D23" s="213" t="s">
        <v>70</v>
      </c>
      <c r="E23" s="216" t="s">
        <v>133</v>
      </c>
      <c r="F23" s="210"/>
      <c r="G23" s="214">
        <f t="shared" si="3"/>
        <v>623.7</v>
      </c>
      <c r="H23" s="214">
        <f t="shared" si="3"/>
        <v>620.7</v>
      </c>
      <c r="I23" s="214">
        <f t="shared" si="1"/>
        <v>3</v>
      </c>
      <c r="J23" s="214">
        <f t="shared" si="2"/>
        <v>99.51899951899952</v>
      </c>
      <c r="K23" s="7"/>
      <c r="L23" s="7"/>
      <c r="M23" s="7"/>
    </row>
    <row r="24" spans="1:13" s="5" customFormat="1" ht="12.75">
      <c r="A24" s="211" t="s">
        <v>169</v>
      </c>
      <c r="B24" s="212" t="s">
        <v>437</v>
      </c>
      <c r="C24" s="213">
        <v>10</v>
      </c>
      <c r="D24" s="213" t="s">
        <v>70</v>
      </c>
      <c r="E24" s="216" t="s">
        <v>133</v>
      </c>
      <c r="F24" s="210">
        <v>721</v>
      </c>
      <c r="G24" s="214">
        <f>300.6+200+48+4+68.1+3</f>
        <v>623.7</v>
      </c>
      <c r="H24" s="214">
        <v>620.7</v>
      </c>
      <c r="I24" s="214">
        <f t="shared" si="1"/>
        <v>3</v>
      </c>
      <c r="J24" s="214">
        <f t="shared" si="2"/>
        <v>99.51899951899952</v>
      </c>
      <c r="K24" s="7"/>
      <c r="L24" s="7"/>
      <c r="M24" s="7"/>
    </row>
    <row r="25" spans="1:13" s="5" customFormat="1" ht="21">
      <c r="A25" s="207" t="s">
        <v>188</v>
      </c>
      <c r="B25" s="202" t="s">
        <v>438</v>
      </c>
      <c r="C25" s="209"/>
      <c r="D25" s="209"/>
      <c r="E25" s="217"/>
      <c r="F25" s="201"/>
      <c r="G25" s="208">
        <f aca="true" t="shared" si="4" ref="G25:H29">G26</f>
        <v>9.6</v>
      </c>
      <c r="H25" s="208">
        <f t="shared" si="4"/>
        <v>9.6</v>
      </c>
      <c r="I25" s="214">
        <f t="shared" si="1"/>
        <v>0</v>
      </c>
      <c r="J25" s="214">
        <f t="shared" si="2"/>
        <v>100</v>
      </c>
      <c r="K25" s="7"/>
      <c r="L25" s="7"/>
      <c r="M25" s="7"/>
    </row>
    <row r="26" spans="1:13" s="5" customFormat="1" ht="12.75">
      <c r="A26" s="207" t="s">
        <v>62</v>
      </c>
      <c r="B26" s="202" t="s">
        <v>438</v>
      </c>
      <c r="C26" s="209">
        <v>10</v>
      </c>
      <c r="D26" s="209" t="s">
        <v>36</v>
      </c>
      <c r="E26" s="210"/>
      <c r="F26" s="210"/>
      <c r="G26" s="208">
        <f t="shared" si="4"/>
        <v>9.6</v>
      </c>
      <c r="H26" s="208">
        <f t="shared" si="4"/>
        <v>9.6</v>
      </c>
      <c r="I26" s="214">
        <f t="shared" si="1"/>
        <v>0</v>
      </c>
      <c r="J26" s="214">
        <f t="shared" si="2"/>
        <v>100</v>
      </c>
      <c r="K26" s="7"/>
      <c r="L26" s="7"/>
      <c r="M26" s="7"/>
    </row>
    <row r="27" spans="1:13" s="5" customFormat="1" ht="12.75">
      <c r="A27" s="211" t="s">
        <v>61</v>
      </c>
      <c r="B27" s="212" t="s">
        <v>438</v>
      </c>
      <c r="C27" s="213">
        <v>10</v>
      </c>
      <c r="D27" s="213" t="s">
        <v>70</v>
      </c>
      <c r="E27" s="210"/>
      <c r="F27" s="210"/>
      <c r="G27" s="214">
        <f t="shared" si="4"/>
        <v>9.6</v>
      </c>
      <c r="H27" s="214">
        <f t="shared" si="4"/>
        <v>9.6</v>
      </c>
      <c r="I27" s="214">
        <f t="shared" si="1"/>
        <v>0</v>
      </c>
      <c r="J27" s="214">
        <f t="shared" si="2"/>
        <v>100</v>
      </c>
      <c r="K27" s="7"/>
      <c r="L27" s="7"/>
      <c r="M27" s="7"/>
    </row>
    <row r="28" spans="1:13" s="5" customFormat="1" ht="24.75" customHeight="1">
      <c r="A28" s="215" t="s">
        <v>126</v>
      </c>
      <c r="B28" s="212" t="s">
        <v>438</v>
      </c>
      <c r="C28" s="213">
        <v>10</v>
      </c>
      <c r="D28" s="213" t="s">
        <v>70</v>
      </c>
      <c r="E28" s="216" t="s">
        <v>127</v>
      </c>
      <c r="F28" s="210"/>
      <c r="G28" s="214">
        <f t="shared" si="4"/>
        <v>9.6</v>
      </c>
      <c r="H28" s="214">
        <f t="shared" si="4"/>
        <v>9.6</v>
      </c>
      <c r="I28" s="214">
        <f t="shared" si="1"/>
        <v>0</v>
      </c>
      <c r="J28" s="214">
        <f t="shared" si="2"/>
        <v>100</v>
      </c>
      <c r="K28" s="7"/>
      <c r="L28" s="7"/>
      <c r="M28" s="7"/>
    </row>
    <row r="29" spans="1:13" s="5" customFormat="1" ht="12.75">
      <c r="A29" s="215" t="s">
        <v>132</v>
      </c>
      <c r="B29" s="212" t="s">
        <v>438</v>
      </c>
      <c r="C29" s="213">
        <v>10</v>
      </c>
      <c r="D29" s="213" t="s">
        <v>70</v>
      </c>
      <c r="E29" s="216" t="s">
        <v>133</v>
      </c>
      <c r="F29" s="210"/>
      <c r="G29" s="214">
        <f t="shared" si="4"/>
        <v>9.6</v>
      </c>
      <c r="H29" s="214">
        <f t="shared" si="4"/>
        <v>9.6</v>
      </c>
      <c r="I29" s="214">
        <f t="shared" si="1"/>
        <v>0</v>
      </c>
      <c r="J29" s="214">
        <f t="shared" si="2"/>
        <v>100</v>
      </c>
      <c r="K29" s="7"/>
      <c r="L29" s="7"/>
      <c r="M29" s="7"/>
    </row>
    <row r="30" spans="1:13" s="5" customFormat="1" ht="12.75">
      <c r="A30" s="211" t="s">
        <v>169</v>
      </c>
      <c r="B30" s="212" t="s">
        <v>438</v>
      </c>
      <c r="C30" s="213">
        <v>10</v>
      </c>
      <c r="D30" s="213" t="s">
        <v>70</v>
      </c>
      <c r="E30" s="216" t="s">
        <v>133</v>
      </c>
      <c r="F30" s="210">
        <v>721</v>
      </c>
      <c r="G30" s="214">
        <f>7.2+2.4</f>
        <v>9.6</v>
      </c>
      <c r="H30" s="214">
        <v>9.6</v>
      </c>
      <c r="I30" s="214">
        <f t="shared" si="1"/>
        <v>0</v>
      </c>
      <c r="J30" s="214">
        <f t="shared" si="2"/>
        <v>100</v>
      </c>
      <c r="K30" s="7"/>
      <c r="L30" s="7"/>
      <c r="M30" s="7"/>
    </row>
    <row r="31" spans="1:13" s="5" customFormat="1" ht="57" customHeight="1">
      <c r="A31" s="207" t="s">
        <v>189</v>
      </c>
      <c r="B31" s="202" t="s">
        <v>439</v>
      </c>
      <c r="C31" s="209"/>
      <c r="D31" s="209"/>
      <c r="E31" s="217"/>
      <c r="F31" s="201"/>
      <c r="G31" s="208">
        <f aca="true" t="shared" si="5" ref="G31:H35">G32</f>
        <v>138</v>
      </c>
      <c r="H31" s="208">
        <f t="shared" si="5"/>
        <v>137.9</v>
      </c>
      <c r="I31" s="208">
        <f t="shared" si="1"/>
        <v>0.09999999999999432</v>
      </c>
      <c r="J31" s="208">
        <f t="shared" si="2"/>
        <v>99.92753623188406</v>
      </c>
      <c r="K31" s="7"/>
      <c r="L31" s="7"/>
      <c r="M31" s="7"/>
    </row>
    <row r="32" spans="1:13" s="5" customFormat="1" ht="12.75">
      <c r="A32" s="207" t="s">
        <v>62</v>
      </c>
      <c r="B32" s="202" t="s">
        <v>439</v>
      </c>
      <c r="C32" s="209">
        <v>10</v>
      </c>
      <c r="D32" s="209" t="s">
        <v>36</v>
      </c>
      <c r="E32" s="201"/>
      <c r="F32" s="201"/>
      <c r="G32" s="208">
        <f t="shared" si="5"/>
        <v>138</v>
      </c>
      <c r="H32" s="208">
        <f t="shared" si="5"/>
        <v>137.9</v>
      </c>
      <c r="I32" s="208">
        <f t="shared" si="1"/>
        <v>0.09999999999999432</v>
      </c>
      <c r="J32" s="208">
        <f t="shared" si="2"/>
        <v>99.92753623188406</v>
      </c>
      <c r="K32" s="7"/>
      <c r="L32" s="7"/>
      <c r="M32" s="7"/>
    </row>
    <row r="33" spans="1:13" s="5" customFormat="1" ht="12.75">
      <c r="A33" s="211" t="s">
        <v>61</v>
      </c>
      <c r="B33" s="212" t="s">
        <v>439</v>
      </c>
      <c r="C33" s="213">
        <v>10</v>
      </c>
      <c r="D33" s="213" t="s">
        <v>70</v>
      </c>
      <c r="E33" s="210"/>
      <c r="F33" s="210"/>
      <c r="G33" s="214">
        <f t="shared" si="5"/>
        <v>138</v>
      </c>
      <c r="H33" s="214">
        <f t="shared" si="5"/>
        <v>137.9</v>
      </c>
      <c r="I33" s="214">
        <f t="shared" si="1"/>
        <v>0.09999999999999432</v>
      </c>
      <c r="J33" s="214">
        <f t="shared" si="2"/>
        <v>99.92753623188406</v>
      </c>
      <c r="K33" s="7"/>
      <c r="L33" s="7"/>
      <c r="M33" s="7"/>
    </row>
    <row r="34" spans="1:13" s="5" customFormat="1" ht="15.75" customHeight="1">
      <c r="A34" s="215" t="s">
        <v>126</v>
      </c>
      <c r="B34" s="212" t="s">
        <v>439</v>
      </c>
      <c r="C34" s="213">
        <v>10</v>
      </c>
      <c r="D34" s="213" t="s">
        <v>70</v>
      </c>
      <c r="E34" s="216" t="s">
        <v>127</v>
      </c>
      <c r="F34" s="210"/>
      <c r="G34" s="214">
        <f t="shared" si="5"/>
        <v>138</v>
      </c>
      <c r="H34" s="214">
        <f t="shared" si="5"/>
        <v>137.9</v>
      </c>
      <c r="I34" s="214">
        <f t="shared" si="1"/>
        <v>0.09999999999999432</v>
      </c>
      <c r="J34" s="214">
        <f t="shared" si="2"/>
        <v>99.92753623188406</v>
      </c>
      <c r="K34" s="7"/>
      <c r="L34" s="7"/>
      <c r="M34" s="7"/>
    </row>
    <row r="35" spans="1:13" s="5" customFormat="1" ht="12.75">
      <c r="A35" s="215" t="s">
        <v>132</v>
      </c>
      <c r="B35" s="212" t="s">
        <v>439</v>
      </c>
      <c r="C35" s="213">
        <v>10</v>
      </c>
      <c r="D35" s="213" t="s">
        <v>70</v>
      </c>
      <c r="E35" s="216" t="s">
        <v>133</v>
      </c>
      <c r="F35" s="210"/>
      <c r="G35" s="214">
        <f t="shared" si="5"/>
        <v>138</v>
      </c>
      <c r="H35" s="214">
        <f t="shared" si="5"/>
        <v>137.9</v>
      </c>
      <c r="I35" s="214">
        <f t="shared" si="1"/>
        <v>0.09999999999999432</v>
      </c>
      <c r="J35" s="214">
        <f t="shared" si="2"/>
        <v>99.92753623188406</v>
      </c>
      <c r="K35" s="7"/>
      <c r="L35" s="7"/>
      <c r="M35" s="7"/>
    </row>
    <row r="36" spans="1:13" s="5" customFormat="1" ht="15" customHeight="1">
      <c r="A36" s="211" t="s">
        <v>169</v>
      </c>
      <c r="B36" s="212" t="s">
        <v>439</v>
      </c>
      <c r="C36" s="213">
        <v>10</v>
      </c>
      <c r="D36" s="213" t="s">
        <v>70</v>
      </c>
      <c r="E36" s="216" t="s">
        <v>133</v>
      </c>
      <c r="F36" s="210">
        <v>721</v>
      </c>
      <c r="G36" s="214">
        <f>160.2-19.2-3</f>
        <v>138</v>
      </c>
      <c r="H36" s="214">
        <v>137.9</v>
      </c>
      <c r="I36" s="214">
        <f t="shared" si="1"/>
        <v>0.09999999999999432</v>
      </c>
      <c r="J36" s="214">
        <f t="shared" si="2"/>
        <v>99.92753623188406</v>
      </c>
      <c r="K36" s="7"/>
      <c r="L36" s="7"/>
      <c r="M36" s="7"/>
    </row>
    <row r="37" spans="1:13" s="5" customFormat="1" ht="31.5">
      <c r="A37" s="207" t="s">
        <v>190</v>
      </c>
      <c r="B37" s="202" t="s">
        <v>440</v>
      </c>
      <c r="C37" s="209"/>
      <c r="D37" s="209"/>
      <c r="E37" s="217"/>
      <c r="F37" s="201"/>
      <c r="G37" s="208">
        <f aca="true" t="shared" si="6" ref="G37:H41">G38</f>
        <v>70.2</v>
      </c>
      <c r="H37" s="208">
        <f t="shared" si="6"/>
        <v>70.2</v>
      </c>
      <c r="I37" s="208">
        <f t="shared" si="1"/>
        <v>0</v>
      </c>
      <c r="J37" s="208">
        <f t="shared" si="2"/>
        <v>100</v>
      </c>
      <c r="K37" s="7"/>
      <c r="L37" s="7"/>
      <c r="M37" s="7"/>
    </row>
    <row r="38" spans="1:13" s="5" customFormat="1" ht="12.75">
      <c r="A38" s="207" t="s">
        <v>62</v>
      </c>
      <c r="B38" s="212" t="s">
        <v>440</v>
      </c>
      <c r="C38" s="209">
        <v>10</v>
      </c>
      <c r="D38" s="209" t="s">
        <v>36</v>
      </c>
      <c r="E38" s="201"/>
      <c r="F38" s="201"/>
      <c r="G38" s="208">
        <f t="shared" si="6"/>
        <v>70.2</v>
      </c>
      <c r="H38" s="208">
        <f t="shared" si="6"/>
        <v>70.2</v>
      </c>
      <c r="I38" s="208">
        <f t="shared" si="1"/>
        <v>0</v>
      </c>
      <c r="J38" s="208">
        <f t="shared" si="2"/>
        <v>100</v>
      </c>
      <c r="K38" s="7"/>
      <c r="L38" s="7"/>
      <c r="M38" s="7"/>
    </row>
    <row r="39" spans="1:13" s="5" customFormat="1" ht="12.75">
      <c r="A39" s="211" t="s">
        <v>61</v>
      </c>
      <c r="B39" s="212" t="s">
        <v>440</v>
      </c>
      <c r="C39" s="213">
        <v>10</v>
      </c>
      <c r="D39" s="213" t="s">
        <v>70</v>
      </c>
      <c r="E39" s="210"/>
      <c r="F39" s="210"/>
      <c r="G39" s="214">
        <f t="shared" si="6"/>
        <v>70.2</v>
      </c>
      <c r="H39" s="214">
        <f t="shared" si="6"/>
        <v>70.2</v>
      </c>
      <c r="I39" s="214">
        <f t="shared" si="1"/>
        <v>0</v>
      </c>
      <c r="J39" s="214">
        <f t="shared" si="2"/>
        <v>100</v>
      </c>
      <c r="K39" s="7"/>
      <c r="L39" s="7"/>
      <c r="M39" s="7"/>
    </row>
    <row r="40" spans="1:13" s="5" customFormat="1" ht="12.75" customHeight="1">
      <c r="A40" s="215" t="s">
        <v>126</v>
      </c>
      <c r="B40" s="212" t="s">
        <v>440</v>
      </c>
      <c r="C40" s="213">
        <v>10</v>
      </c>
      <c r="D40" s="213" t="s">
        <v>70</v>
      </c>
      <c r="E40" s="216" t="s">
        <v>127</v>
      </c>
      <c r="F40" s="210"/>
      <c r="G40" s="214">
        <f t="shared" si="6"/>
        <v>70.2</v>
      </c>
      <c r="H40" s="214">
        <f t="shared" si="6"/>
        <v>70.2</v>
      </c>
      <c r="I40" s="214">
        <f t="shared" si="1"/>
        <v>0</v>
      </c>
      <c r="J40" s="214">
        <f t="shared" si="2"/>
        <v>100</v>
      </c>
      <c r="K40" s="7"/>
      <c r="L40" s="7"/>
      <c r="M40" s="7"/>
    </row>
    <row r="41" spans="1:13" s="5" customFormat="1" ht="12.75">
      <c r="A41" s="215" t="s">
        <v>132</v>
      </c>
      <c r="B41" s="212" t="s">
        <v>440</v>
      </c>
      <c r="C41" s="213">
        <v>10</v>
      </c>
      <c r="D41" s="213" t="s">
        <v>70</v>
      </c>
      <c r="E41" s="216" t="s">
        <v>133</v>
      </c>
      <c r="F41" s="210"/>
      <c r="G41" s="214">
        <f t="shared" si="6"/>
        <v>70.2</v>
      </c>
      <c r="H41" s="214">
        <f t="shared" si="6"/>
        <v>70.2</v>
      </c>
      <c r="I41" s="214">
        <f t="shared" si="1"/>
        <v>0</v>
      </c>
      <c r="J41" s="214">
        <f t="shared" si="2"/>
        <v>100</v>
      </c>
      <c r="K41" s="7"/>
      <c r="L41" s="7"/>
      <c r="M41" s="7"/>
    </row>
    <row r="42" spans="1:13" s="5" customFormat="1" ht="12.75">
      <c r="A42" s="211" t="s">
        <v>169</v>
      </c>
      <c r="B42" s="212" t="s">
        <v>440</v>
      </c>
      <c r="C42" s="213">
        <v>10</v>
      </c>
      <c r="D42" s="213" t="s">
        <v>70</v>
      </c>
      <c r="E42" s="216" t="s">
        <v>133</v>
      </c>
      <c r="F42" s="210">
        <v>721</v>
      </c>
      <c r="G42" s="214">
        <f>80-9.8</f>
        <v>70.2</v>
      </c>
      <c r="H42" s="214">
        <v>70.2</v>
      </c>
      <c r="I42" s="214">
        <f t="shared" si="1"/>
        <v>0</v>
      </c>
      <c r="J42" s="214">
        <f t="shared" si="2"/>
        <v>100</v>
      </c>
      <c r="K42" s="7"/>
      <c r="L42" s="7"/>
      <c r="M42" s="7"/>
    </row>
    <row r="43" spans="1:13" s="5" customFormat="1" ht="47.25" customHeight="1">
      <c r="A43" s="207" t="s">
        <v>359</v>
      </c>
      <c r="B43" s="202" t="s">
        <v>202</v>
      </c>
      <c r="C43" s="209"/>
      <c r="D43" s="209"/>
      <c r="E43" s="210"/>
      <c r="F43" s="210"/>
      <c r="G43" s="208">
        <f>G44</f>
        <v>2143.2</v>
      </c>
      <c r="H43" s="208">
        <f>H44</f>
        <v>972.7</v>
      </c>
      <c r="I43" s="208">
        <f t="shared" si="1"/>
        <v>1170.4999999999998</v>
      </c>
      <c r="J43" s="208">
        <f t="shared" si="2"/>
        <v>45.385405001866374</v>
      </c>
      <c r="K43" s="180"/>
      <c r="L43" s="7"/>
      <c r="M43" s="7"/>
    </row>
    <row r="44" spans="1:13" s="5" customFormat="1" ht="33.75" customHeight="1">
      <c r="A44" s="207" t="s">
        <v>385</v>
      </c>
      <c r="B44" s="202" t="s">
        <v>449</v>
      </c>
      <c r="C44" s="209"/>
      <c r="D44" s="209"/>
      <c r="E44" s="210"/>
      <c r="F44" s="210"/>
      <c r="G44" s="208">
        <f>G59+G71+G78+G45+G52</f>
        <v>2143.2</v>
      </c>
      <c r="H44" s="208">
        <f>H59+H71+H78+H45+H52</f>
        <v>972.7</v>
      </c>
      <c r="I44" s="208">
        <f t="shared" si="1"/>
        <v>1170.4999999999998</v>
      </c>
      <c r="J44" s="208">
        <f t="shared" si="2"/>
        <v>45.385405001866374</v>
      </c>
      <c r="K44" s="180"/>
      <c r="L44" s="7"/>
      <c r="M44" s="7"/>
    </row>
    <row r="45" spans="1:13" s="113" customFormat="1" ht="45" customHeight="1">
      <c r="A45" s="218" t="s">
        <v>729</v>
      </c>
      <c r="B45" s="219" t="s">
        <v>730</v>
      </c>
      <c r="C45" s="209"/>
      <c r="D45" s="209"/>
      <c r="E45" s="201"/>
      <c r="F45" s="201"/>
      <c r="G45" s="208">
        <f aca="true" t="shared" si="7" ref="G45:H50">G46</f>
        <v>1000</v>
      </c>
      <c r="H45" s="208">
        <f t="shared" si="7"/>
        <v>0</v>
      </c>
      <c r="I45" s="208">
        <f t="shared" si="1"/>
        <v>1000</v>
      </c>
      <c r="J45" s="208">
        <f t="shared" si="2"/>
        <v>0</v>
      </c>
      <c r="K45" s="181"/>
      <c r="L45" s="58"/>
      <c r="M45" s="58"/>
    </row>
    <row r="46" spans="1:13" s="113" customFormat="1" ht="12.75">
      <c r="A46" s="207" t="s">
        <v>8</v>
      </c>
      <c r="B46" s="219" t="s">
        <v>730</v>
      </c>
      <c r="C46" s="209" t="s">
        <v>69</v>
      </c>
      <c r="D46" s="209" t="s">
        <v>36</v>
      </c>
      <c r="E46" s="201"/>
      <c r="F46" s="201"/>
      <c r="G46" s="208">
        <f t="shared" si="7"/>
        <v>1000</v>
      </c>
      <c r="H46" s="208">
        <f t="shared" si="7"/>
        <v>0</v>
      </c>
      <c r="I46" s="208">
        <f t="shared" si="1"/>
        <v>1000</v>
      </c>
      <c r="J46" s="208">
        <f t="shared" si="2"/>
        <v>0</v>
      </c>
      <c r="K46" s="181"/>
      <c r="L46" s="58"/>
      <c r="M46" s="58"/>
    </row>
    <row r="47" spans="1:13" s="113" customFormat="1" ht="12.75">
      <c r="A47" s="211" t="s">
        <v>875</v>
      </c>
      <c r="B47" s="220" t="s">
        <v>730</v>
      </c>
      <c r="C47" s="213" t="s">
        <v>69</v>
      </c>
      <c r="D47" s="213" t="s">
        <v>67</v>
      </c>
      <c r="E47" s="201"/>
      <c r="F47" s="201"/>
      <c r="G47" s="214">
        <f t="shared" si="7"/>
        <v>1000</v>
      </c>
      <c r="H47" s="214">
        <f t="shared" si="7"/>
        <v>0</v>
      </c>
      <c r="I47" s="214">
        <f t="shared" si="1"/>
        <v>1000</v>
      </c>
      <c r="J47" s="214">
        <f t="shared" si="2"/>
        <v>0</v>
      </c>
      <c r="K47" s="181"/>
      <c r="L47" s="58"/>
      <c r="M47" s="58"/>
    </row>
    <row r="48" spans="1:13" s="5" customFormat="1" ht="33.75">
      <c r="A48" s="221" t="s">
        <v>114</v>
      </c>
      <c r="B48" s="220" t="s">
        <v>730</v>
      </c>
      <c r="C48" s="213" t="s">
        <v>69</v>
      </c>
      <c r="D48" s="213" t="s">
        <v>67</v>
      </c>
      <c r="E48" s="210">
        <v>600</v>
      </c>
      <c r="F48" s="210"/>
      <c r="G48" s="214">
        <f t="shared" si="7"/>
        <v>1000</v>
      </c>
      <c r="H48" s="214">
        <f t="shared" si="7"/>
        <v>0</v>
      </c>
      <c r="I48" s="214">
        <f t="shared" si="1"/>
        <v>1000</v>
      </c>
      <c r="J48" s="214">
        <f t="shared" si="2"/>
        <v>0</v>
      </c>
      <c r="K48" s="180"/>
      <c r="L48" s="7"/>
      <c r="M48" s="7"/>
    </row>
    <row r="49" spans="1:13" s="5" customFormat="1" ht="12.75">
      <c r="A49" s="221" t="s">
        <v>120</v>
      </c>
      <c r="B49" s="220" t="s">
        <v>730</v>
      </c>
      <c r="C49" s="213" t="s">
        <v>69</v>
      </c>
      <c r="D49" s="213" t="s">
        <v>67</v>
      </c>
      <c r="E49" s="210">
        <v>610</v>
      </c>
      <c r="F49" s="210"/>
      <c r="G49" s="214">
        <f t="shared" si="7"/>
        <v>1000</v>
      </c>
      <c r="H49" s="214">
        <f t="shared" si="7"/>
        <v>0</v>
      </c>
      <c r="I49" s="214">
        <f t="shared" si="1"/>
        <v>1000</v>
      </c>
      <c r="J49" s="214">
        <f t="shared" si="2"/>
        <v>0</v>
      </c>
      <c r="K49" s="180"/>
      <c r="L49" s="7"/>
      <c r="M49" s="7"/>
    </row>
    <row r="50" spans="1:13" s="5" customFormat="1" ht="12.75">
      <c r="A50" s="221" t="s">
        <v>124</v>
      </c>
      <c r="B50" s="220" t="s">
        <v>730</v>
      </c>
      <c r="C50" s="213" t="s">
        <v>69</v>
      </c>
      <c r="D50" s="213" t="s">
        <v>67</v>
      </c>
      <c r="E50" s="210">
        <v>612</v>
      </c>
      <c r="F50" s="210"/>
      <c r="G50" s="214">
        <f t="shared" si="7"/>
        <v>1000</v>
      </c>
      <c r="H50" s="214">
        <f t="shared" si="7"/>
        <v>0</v>
      </c>
      <c r="I50" s="214">
        <f t="shared" si="1"/>
        <v>1000</v>
      </c>
      <c r="J50" s="214">
        <f t="shared" si="2"/>
        <v>0</v>
      </c>
      <c r="K50" s="180"/>
      <c r="L50" s="7"/>
      <c r="M50" s="7"/>
    </row>
    <row r="51" spans="1:13" s="5" customFormat="1" ht="26.25" customHeight="1">
      <c r="A51" s="211" t="s">
        <v>172</v>
      </c>
      <c r="B51" s="220" t="s">
        <v>730</v>
      </c>
      <c r="C51" s="213" t="s">
        <v>69</v>
      </c>
      <c r="D51" s="213" t="s">
        <v>67</v>
      </c>
      <c r="E51" s="210">
        <v>612</v>
      </c>
      <c r="F51" s="210">
        <v>725</v>
      </c>
      <c r="G51" s="214">
        <v>1000</v>
      </c>
      <c r="H51" s="214"/>
      <c r="I51" s="214">
        <f t="shared" si="1"/>
        <v>1000</v>
      </c>
      <c r="J51" s="214">
        <f t="shared" si="2"/>
        <v>0</v>
      </c>
      <c r="K51" s="180"/>
      <c r="L51" s="7"/>
      <c r="M51" s="7"/>
    </row>
    <row r="52" spans="1:13" s="113" customFormat="1" ht="33.75" customHeight="1">
      <c r="A52" s="218" t="s">
        <v>731</v>
      </c>
      <c r="B52" s="219" t="s">
        <v>732</v>
      </c>
      <c r="C52" s="209"/>
      <c r="D52" s="209"/>
      <c r="E52" s="201"/>
      <c r="F52" s="201"/>
      <c r="G52" s="208">
        <f aca="true" t="shared" si="8" ref="G52:H57">G53</f>
        <v>70</v>
      </c>
      <c r="H52" s="208">
        <f t="shared" si="8"/>
        <v>69.8</v>
      </c>
      <c r="I52" s="208">
        <f t="shared" si="1"/>
        <v>0.20000000000000284</v>
      </c>
      <c r="J52" s="208">
        <f t="shared" si="2"/>
        <v>99.71428571428571</v>
      </c>
      <c r="K52" s="181"/>
      <c r="L52" s="58"/>
      <c r="M52" s="58"/>
    </row>
    <row r="53" spans="1:13" s="113" customFormat="1" ht="12.75">
      <c r="A53" s="207" t="s">
        <v>8</v>
      </c>
      <c r="B53" s="219" t="s">
        <v>732</v>
      </c>
      <c r="C53" s="209" t="s">
        <v>69</v>
      </c>
      <c r="D53" s="209" t="s">
        <v>36</v>
      </c>
      <c r="E53" s="201"/>
      <c r="F53" s="201"/>
      <c r="G53" s="208">
        <f t="shared" si="8"/>
        <v>70</v>
      </c>
      <c r="H53" s="208">
        <f t="shared" si="8"/>
        <v>69.8</v>
      </c>
      <c r="I53" s="208">
        <f t="shared" si="1"/>
        <v>0.20000000000000284</v>
      </c>
      <c r="J53" s="208">
        <f t="shared" si="2"/>
        <v>99.71428571428571</v>
      </c>
      <c r="K53" s="181"/>
      <c r="L53" s="58"/>
      <c r="M53" s="58"/>
    </row>
    <row r="54" spans="1:13" s="113" customFormat="1" ht="12.75">
      <c r="A54" s="211" t="s">
        <v>875</v>
      </c>
      <c r="B54" s="220" t="s">
        <v>732</v>
      </c>
      <c r="C54" s="213" t="s">
        <v>69</v>
      </c>
      <c r="D54" s="213" t="s">
        <v>67</v>
      </c>
      <c r="E54" s="201"/>
      <c r="F54" s="201"/>
      <c r="G54" s="214">
        <f t="shared" si="8"/>
        <v>70</v>
      </c>
      <c r="H54" s="214">
        <f t="shared" si="8"/>
        <v>69.8</v>
      </c>
      <c r="I54" s="214">
        <f t="shared" si="1"/>
        <v>0.20000000000000284</v>
      </c>
      <c r="J54" s="214">
        <f t="shared" si="2"/>
        <v>99.71428571428571</v>
      </c>
      <c r="K54" s="181"/>
      <c r="L54" s="58"/>
      <c r="M54" s="58"/>
    </row>
    <row r="55" spans="1:13" s="5" customFormat="1" ht="27.75" customHeight="1">
      <c r="A55" s="221" t="s">
        <v>114</v>
      </c>
      <c r="B55" s="220" t="s">
        <v>732</v>
      </c>
      <c r="C55" s="213" t="s">
        <v>69</v>
      </c>
      <c r="D55" s="213" t="s">
        <v>67</v>
      </c>
      <c r="E55" s="210">
        <v>600</v>
      </c>
      <c r="F55" s="210"/>
      <c r="G55" s="214">
        <f t="shared" si="8"/>
        <v>70</v>
      </c>
      <c r="H55" s="214">
        <f t="shared" si="8"/>
        <v>69.8</v>
      </c>
      <c r="I55" s="214">
        <f t="shared" si="1"/>
        <v>0.20000000000000284</v>
      </c>
      <c r="J55" s="214">
        <f t="shared" si="2"/>
        <v>99.71428571428571</v>
      </c>
      <c r="K55" s="180"/>
      <c r="L55" s="7"/>
      <c r="M55" s="7"/>
    </row>
    <row r="56" spans="1:13" s="5" customFormat="1" ht="12.75">
      <c r="A56" s="221" t="s">
        <v>120</v>
      </c>
      <c r="B56" s="220" t="s">
        <v>732</v>
      </c>
      <c r="C56" s="213" t="s">
        <v>69</v>
      </c>
      <c r="D56" s="213" t="s">
        <v>67</v>
      </c>
      <c r="E56" s="210">
        <v>610</v>
      </c>
      <c r="F56" s="210"/>
      <c r="G56" s="214">
        <f t="shared" si="8"/>
        <v>70</v>
      </c>
      <c r="H56" s="214">
        <f t="shared" si="8"/>
        <v>69.8</v>
      </c>
      <c r="I56" s="214">
        <f t="shared" si="1"/>
        <v>0.20000000000000284</v>
      </c>
      <c r="J56" s="214">
        <f t="shared" si="2"/>
        <v>99.71428571428571</v>
      </c>
      <c r="K56" s="180"/>
      <c r="L56" s="7"/>
      <c r="M56" s="7"/>
    </row>
    <row r="57" spans="1:13" s="5" customFormat="1" ht="12.75">
      <c r="A57" s="221" t="s">
        <v>124</v>
      </c>
      <c r="B57" s="220" t="s">
        <v>732</v>
      </c>
      <c r="C57" s="213" t="s">
        <v>69</v>
      </c>
      <c r="D57" s="213" t="s">
        <v>67</v>
      </c>
      <c r="E57" s="210">
        <v>612</v>
      </c>
      <c r="F57" s="210"/>
      <c r="G57" s="214">
        <f t="shared" si="8"/>
        <v>70</v>
      </c>
      <c r="H57" s="214">
        <f t="shared" si="8"/>
        <v>69.8</v>
      </c>
      <c r="I57" s="214">
        <f t="shared" si="1"/>
        <v>0.20000000000000284</v>
      </c>
      <c r="J57" s="214">
        <f t="shared" si="2"/>
        <v>99.71428571428571</v>
      </c>
      <c r="K57" s="180"/>
      <c r="L57" s="7"/>
      <c r="M57" s="7"/>
    </row>
    <row r="58" spans="1:13" s="5" customFormat="1" ht="22.5">
      <c r="A58" s="211" t="s">
        <v>172</v>
      </c>
      <c r="B58" s="220" t="s">
        <v>732</v>
      </c>
      <c r="C58" s="213" t="s">
        <v>69</v>
      </c>
      <c r="D58" s="213" t="s">
        <v>67</v>
      </c>
      <c r="E58" s="210">
        <v>612</v>
      </c>
      <c r="F58" s="210">
        <v>725</v>
      </c>
      <c r="G58" s="214">
        <f>1250.2-1180.2</f>
        <v>70</v>
      </c>
      <c r="H58" s="214">
        <v>69.8</v>
      </c>
      <c r="I58" s="214">
        <f t="shared" si="1"/>
        <v>0.20000000000000284</v>
      </c>
      <c r="J58" s="214">
        <f t="shared" si="2"/>
        <v>99.71428571428571</v>
      </c>
      <c r="K58" s="180"/>
      <c r="L58" s="7"/>
      <c r="M58" s="7"/>
    </row>
    <row r="59" spans="1:13" s="5" customFormat="1" ht="21">
      <c r="A59" s="207" t="s">
        <v>199</v>
      </c>
      <c r="B59" s="202" t="s">
        <v>450</v>
      </c>
      <c r="C59" s="209"/>
      <c r="D59" s="209"/>
      <c r="E59" s="210"/>
      <c r="F59" s="210"/>
      <c r="G59" s="208">
        <f>G60</f>
        <v>799</v>
      </c>
      <c r="H59" s="208">
        <f>H60</f>
        <v>796.7</v>
      </c>
      <c r="I59" s="208">
        <f t="shared" si="1"/>
        <v>2.2999999999999545</v>
      </c>
      <c r="J59" s="208">
        <f t="shared" si="2"/>
        <v>99.71214017521903</v>
      </c>
      <c r="K59" s="180"/>
      <c r="L59" s="7"/>
      <c r="M59" s="7"/>
    </row>
    <row r="60" spans="1:13" s="5" customFormat="1" ht="12.75">
      <c r="A60" s="207" t="s">
        <v>8</v>
      </c>
      <c r="B60" s="202" t="s">
        <v>450</v>
      </c>
      <c r="C60" s="209" t="s">
        <v>69</v>
      </c>
      <c r="D60" s="209" t="s">
        <v>36</v>
      </c>
      <c r="E60" s="210"/>
      <c r="F60" s="210"/>
      <c r="G60" s="208">
        <f>G61+G66</f>
        <v>799</v>
      </c>
      <c r="H60" s="208">
        <f>H61+H66</f>
        <v>796.7</v>
      </c>
      <c r="I60" s="208">
        <f t="shared" si="1"/>
        <v>2.2999999999999545</v>
      </c>
      <c r="J60" s="208">
        <f t="shared" si="2"/>
        <v>99.71214017521903</v>
      </c>
      <c r="K60" s="7"/>
      <c r="L60" s="7"/>
      <c r="M60" s="7"/>
    </row>
    <row r="61" spans="1:13" s="5" customFormat="1" ht="12.75">
      <c r="A61" s="211" t="s">
        <v>9</v>
      </c>
      <c r="B61" s="212" t="s">
        <v>450</v>
      </c>
      <c r="C61" s="213" t="s">
        <v>69</v>
      </c>
      <c r="D61" s="213" t="s">
        <v>66</v>
      </c>
      <c r="E61" s="210"/>
      <c r="F61" s="210"/>
      <c r="G61" s="214">
        <f aca="true" t="shared" si="9" ref="G61:H64">G62</f>
        <v>202</v>
      </c>
      <c r="H61" s="214">
        <f t="shared" si="9"/>
        <v>201.6</v>
      </c>
      <c r="I61" s="214">
        <f t="shared" si="1"/>
        <v>0.4000000000000057</v>
      </c>
      <c r="J61" s="214">
        <f t="shared" si="2"/>
        <v>99.8019801980198</v>
      </c>
      <c r="K61" s="7"/>
      <c r="L61" s="7"/>
      <c r="M61" s="7"/>
    </row>
    <row r="62" spans="1:13" s="5" customFormat="1" ht="24" customHeight="1">
      <c r="A62" s="215" t="s">
        <v>114</v>
      </c>
      <c r="B62" s="212" t="s">
        <v>450</v>
      </c>
      <c r="C62" s="213" t="s">
        <v>69</v>
      </c>
      <c r="D62" s="213" t="s">
        <v>66</v>
      </c>
      <c r="E62" s="216" t="s">
        <v>115</v>
      </c>
      <c r="F62" s="216"/>
      <c r="G62" s="214">
        <f t="shared" si="9"/>
        <v>202</v>
      </c>
      <c r="H62" s="214">
        <f t="shared" si="9"/>
        <v>201.6</v>
      </c>
      <c r="I62" s="214">
        <f t="shared" si="1"/>
        <v>0.4000000000000057</v>
      </c>
      <c r="J62" s="214">
        <f t="shared" si="2"/>
        <v>99.8019801980198</v>
      </c>
      <c r="K62" s="7"/>
      <c r="L62" s="7"/>
      <c r="M62" s="7"/>
    </row>
    <row r="63" spans="1:13" s="5" customFormat="1" ht="12.75">
      <c r="A63" s="215" t="s">
        <v>120</v>
      </c>
      <c r="B63" s="212" t="s">
        <v>450</v>
      </c>
      <c r="C63" s="213" t="s">
        <v>69</v>
      </c>
      <c r="D63" s="213" t="s">
        <v>66</v>
      </c>
      <c r="E63" s="216" t="s">
        <v>121</v>
      </c>
      <c r="F63" s="216"/>
      <c r="G63" s="214">
        <f t="shared" si="9"/>
        <v>202</v>
      </c>
      <c r="H63" s="214">
        <f t="shared" si="9"/>
        <v>201.6</v>
      </c>
      <c r="I63" s="214">
        <f t="shared" si="1"/>
        <v>0.4000000000000057</v>
      </c>
      <c r="J63" s="214">
        <f t="shared" si="2"/>
        <v>99.8019801980198</v>
      </c>
      <c r="K63" s="7"/>
      <c r="L63" s="7"/>
      <c r="M63" s="7"/>
    </row>
    <row r="64" spans="1:13" s="5" customFormat="1" ht="12.75">
      <c r="A64" s="215" t="s">
        <v>124</v>
      </c>
      <c r="B64" s="212" t="s">
        <v>450</v>
      </c>
      <c r="C64" s="213" t="s">
        <v>69</v>
      </c>
      <c r="D64" s="213" t="s">
        <v>66</v>
      </c>
      <c r="E64" s="216" t="s">
        <v>125</v>
      </c>
      <c r="F64" s="216"/>
      <c r="G64" s="214">
        <f t="shared" si="9"/>
        <v>202</v>
      </c>
      <c r="H64" s="214">
        <f t="shared" si="9"/>
        <v>201.6</v>
      </c>
      <c r="I64" s="214">
        <f t="shared" si="1"/>
        <v>0.4000000000000057</v>
      </c>
      <c r="J64" s="214">
        <f t="shared" si="2"/>
        <v>99.8019801980198</v>
      </c>
      <c r="K64" s="7"/>
      <c r="L64" s="7"/>
      <c r="M64" s="7"/>
    </row>
    <row r="65" spans="1:13" s="5" customFormat="1" ht="22.5">
      <c r="A65" s="211" t="s">
        <v>172</v>
      </c>
      <c r="B65" s="212" t="s">
        <v>450</v>
      </c>
      <c r="C65" s="213" t="s">
        <v>69</v>
      </c>
      <c r="D65" s="213" t="s">
        <v>66</v>
      </c>
      <c r="E65" s="216" t="s">
        <v>125</v>
      </c>
      <c r="F65" s="210">
        <v>725</v>
      </c>
      <c r="G65" s="214">
        <f>49.6+36+113.4+3</f>
        <v>202</v>
      </c>
      <c r="H65" s="214">
        <v>201.6</v>
      </c>
      <c r="I65" s="214">
        <f t="shared" si="1"/>
        <v>0.4000000000000057</v>
      </c>
      <c r="J65" s="214">
        <f t="shared" si="2"/>
        <v>99.8019801980198</v>
      </c>
      <c r="K65" s="7"/>
      <c r="L65" s="7"/>
      <c r="M65" s="7"/>
    </row>
    <row r="66" spans="1:13" s="5" customFormat="1" ht="12.75">
      <c r="A66" s="211" t="s">
        <v>875</v>
      </c>
      <c r="B66" s="212" t="s">
        <v>450</v>
      </c>
      <c r="C66" s="213" t="s">
        <v>69</v>
      </c>
      <c r="D66" s="213" t="s">
        <v>67</v>
      </c>
      <c r="E66" s="216"/>
      <c r="F66" s="210"/>
      <c r="G66" s="214">
        <f aca="true" t="shared" si="10" ref="G66:H69">G67</f>
        <v>597</v>
      </c>
      <c r="H66" s="214">
        <f t="shared" si="10"/>
        <v>595.1</v>
      </c>
      <c r="I66" s="214">
        <f t="shared" si="1"/>
        <v>1.8999999999999773</v>
      </c>
      <c r="J66" s="214">
        <f t="shared" si="2"/>
        <v>99.6817420435511</v>
      </c>
      <c r="K66" s="7"/>
      <c r="L66" s="7"/>
      <c r="M66" s="7"/>
    </row>
    <row r="67" spans="1:13" s="5" customFormat="1" ht="24" customHeight="1">
      <c r="A67" s="215" t="s">
        <v>114</v>
      </c>
      <c r="B67" s="212" t="s">
        <v>450</v>
      </c>
      <c r="C67" s="213" t="s">
        <v>69</v>
      </c>
      <c r="D67" s="213" t="s">
        <v>67</v>
      </c>
      <c r="E67" s="216" t="s">
        <v>115</v>
      </c>
      <c r="F67" s="210"/>
      <c r="G67" s="214">
        <f t="shared" si="10"/>
        <v>597</v>
      </c>
      <c r="H67" s="214">
        <f t="shared" si="10"/>
        <v>595.1</v>
      </c>
      <c r="I67" s="214">
        <f t="shared" si="1"/>
        <v>1.8999999999999773</v>
      </c>
      <c r="J67" s="214">
        <f t="shared" si="2"/>
        <v>99.6817420435511</v>
      </c>
      <c r="K67" s="7"/>
      <c r="L67" s="7"/>
      <c r="M67" s="7"/>
    </row>
    <row r="68" spans="1:13" s="5" customFormat="1" ht="12.75">
      <c r="A68" s="215" t="s">
        <v>120</v>
      </c>
      <c r="B68" s="212" t="s">
        <v>450</v>
      </c>
      <c r="C68" s="213" t="s">
        <v>69</v>
      </c>
      <c r="D68" s="213" t="s">
        <v>67</v>
      </c>
      <c r="E68" s="216" t="s">
        <v>121</v>
      </c>
      <c r="F68" s="210"/>
      <c r="G68" s="214">
        <f t="shared" si="10"/>
        <v>597</v>
      </c>
      <c r="H68" s="214">
        <f t="shared" si="10"/>
        <v>595.1</v>
      </c>
      <c r="I68" s="214">
        <f t="shared" si="1"/>
        <v>1.8999999999999773</v>
      </c>
      <c r="J68" s="214">
        <f t="shared" si="2"/>
        <v>99.6817420435511</v>
      </c>
      <c r="K68" s="7"/>
      <c r="L68" s="7"/>
      <c r="M68" s="7"/>
    </row>
    <row r="69" spans="1:13" s="5" customFormat="1" ht="12.75">
      <c r="A69" s="215" t="s">
        <v>124</v>
      </c>
      <c r="B69" s="212" t="s">
        <v>450</v>
      </c>
      <c r="C69" s="213" t="s">
        <v>69</v>
      </c>
      <c r="D69" s="213" t="s">
        <v>67</v>
      </c>
      <c r="E69" s="216" t="s">
        <v>125</v>
      </c>
      <c r="F69" s="210"/>
      <c r="G69" s="214">
        <f t="shared" si="10"/>
        <v>597</v>
      </c>
      <c r="H69" s="214">
        <f t="shared" si="10"/>
        <v>595.1</v>
      </c>
      <c r="I69" s="214">
        <f t="shared" si="1"/>
        <v>1.8999999999999773</v>
      </c>
      <c r="J69" s="214">
        <f t="shared" si="2"/>
        <v>99.6817420435511</v>
      </c>
      <c r="K69" s="7"/>
      <c r="L69" s="7"/>
      <c r="M69" s="7"/>
    </row>
    <row r="70" spans="1:13" s="5" customFormat="1" ht="22.5">
      <c r="A70" s="211" t="s">
        <v>172</v>
      </c>
      <c r="B70" s="212" t="s">
        <v>450</v>
      </c>
      <c r="C70" s="213" t="s">
        <v>69</v>
      </c>
      <c r="D70" s="213" t="s">
        <v>67</v>
      </c>
      <c r="E70" s="216" t="s">
        <v>125</v>
      </c>
      <c r="F70" s="210">
        <v>725</v>
      </c>
      <c r="G70" s="214">
        <f>14.4+48+64.8+16.8+19.2+103.2+136.8+103.2+141.6-51</f>
        <v>597</v>
      </c>
      <c r="H70" s="214">
        <v>595.1</v>
      </c>
      <c r="I70" s="214">
        <f t="shared" si="1"/>
        <v>1.8999999999999773</v>
      </c>
      <c r="J70" s="214">
        <f t="shared" si="2"/>
        <v>99.6817420435511</v>
      </c>
      <c r="K70" s="7"/>
      <c r="L70" s="7"/>
      <c r="M70" s="7"/>
    </row>
    <row r="71" spans="1:13" s="5" customFormat="1" ht="12.75">
      <c r="A71" s="207" t="s">
        <v>200</v>
      </c>
      <c r="B71" s="202" t="s">
        <v>457</v>
      </c>
      <c r="C71" s="209"/>
      <c r="D71" s="209"/>
      <c r="E71" s="217"/>
      <c r="F71" s="201"/>
      <c r="G71" s="208">
        <f aca="true" t="shared" si="11" ref="G71:H76">G72</f>
        <v>254.2</v>
      </c>
      <c r="H71" s="208">
        <f t="shared" si="11"/>
        <v>86.2</v>
      </c>
      <c r="I71" s="208">
        <f t="shared" si="1"/>
        <v>168</v>
      </c>
      <c r="J71" s="208">
        <f t="shared" si="2"/>
        <v>33.91030684500394</v>
      </c>
      <c r="K71" s="7"/>
      <c r="L71" s="7"/>
      <c r="M71" s="7"/>
    </row>
    <row r="72" spans="1:13" s="5" customFormat="1" ht="12.75">
      <c r="A72" s="207" t="s">
        <v>8</v>
      </c>
      <c r="B72" s="202" t="s">
        <v>457</v>
      </c>
      <c r="C72" s="209" t="s">
        <v>69</v>
      </c>
      <c r="D72" s="209" t="s">
        <v>36</v>
      </c>
      <c r="E72" s="216"/>
      <c r="F72" s="210"/>
      <c r="G72" s="208">
        <f t="shared" si="11"/>
        <v>254.2</v>
      </c>
      <c r="H72" s="208">
        <f t="shared" si="11"/>
        <v>86.2</v>
      </c>
      <c r="I72" s="208">
        <f t="shared" si="1"/>
        <v>168</v>
      </c>
      <c r="J72" s="208">
        <f t="shared" si="2"/>
        <v>33.91030684500394</v>
      </c>
      <c r="K72" s="7"/>
      <c r="L72" s="7"/>
      <c r="M72" s="7"/>
    </row>
    <row r="73" spans="1:13" s="5" customFormat="1" ht="12.75">
      <c r="A73" s="211" t="s">
        <v>875</v>
      </c>
      <c r="B73" s="212" t="s">
        <v>457</v>
      </c>
      <c r="C73" s="213" t="s">
        <v>69</v>
      </c>
      <c r="D73" s="213" t="s">
        <v>67</v>
      </c>
      <c r="E73" s="216"/>
      <c r="F73" s="210"/>
      <c r="G73" s="214">
        <f t="shared" si="11"/>
        <v>254.2</v>
      </c>
      <c r="H73" s="214">
        <f t="shared" si="11"/>
        <v>86.2</v>
      </c>
      <c r="I73" s="214">
        <f aca="true" t="shared" si="12" ref="I73:I136">G73-H73</f>
        <v>168</v>
      </c>
      <c r="J73" s="214">
        <f aca="true" t="shared" si="13" ref="J73:J136">H73/G73*100</f>
        <v>33.91030684500394</v>
      </c>
      <c r="K73" s="7"/>
      <c r="L73" s="7"/>
      <c r="M73" s="7"/>
    </row>
    <row r="74" spans="1:13" s="5" customFormat="1" ht="24" customHeight="1">
      <c r="A74" s="215" t="s">
        <v>114</v>
      </c>
      <c r="B74" s="212" t="s">
        <v>457</v>
      </c>
      <c r="C74" s="213" t="s">
        <v>69</v>
      </c>
      <c r="D74" s="213" t="s">
        <v>67</v>
      </c>
      <c r="E74" s="216" t="s">
        <v>115</v>
      </c>
      <c r="F74" s="210"/>
      <c r="G74" s="214">
        <f t="shared" si="11"/>
        <v>254.2</v>
      </c>
      <c r="H74" s="214">
        <f t="shared" si="11"/>
        <v>86.2</v>
      </c>
      <c r="I74" s="214">
        <f t="shared" si="12"/>
        <v>168</v>
      </c>
      <c r="J74" s="214">
        <f t="shared" si="13"/>
        <v>33.91030684500394</v>
      </c>
      <c r="K74" s="7"/>
      <c r="L74" s="7"/>
      <c r="M74" s="7"/>
    </row>
    <row r="75" spans="1:13" s="5" customFormat="1" ht="12.75">
      <c r="A75" s="215" t="s">
        <v>120</v>
      </c>
      <c r="B75" s="212" t="s">
        <v>457</v>
      </c>
      <c r="C75" s="213" t="s">
        <v>69</v>
      </c>
      <c r="D75" s="213" t="s">
        <v>67</v>
      </c>
      <c r="E75" s="216" t="s">
        <v>121</v>
      </c>
      <c r="F75" s="210"/>
      <c r="G75" s="214">
        <f t="shared" si="11"/>
        <v>254.2</v>
      </c>
      <c r="H75" s="214">
        <f t="shared" si="11"/>
        <v>86.2</v>
      </c>
      <c r="I75" s="214">
        <f t="shared" si="12"/>
        <v>168</v>
      </c>
      <c r="J75" s="214">
        <f t="shared" si="13"/>
        <v>33.91030684500394</v>
      </c>
      <c r="K75" s="7"/>
      <c r="L75" s="7"/>
      <c r="M75" s="7"/>
    </row>
    <row r="76" spans="1:13" s="5" customFormat="1" ht="12.75">
      <c r="A76" s="215" t="s">
        <v>124</v>
      </c>
      <c r="B76" s="212" t="s">
        <v>457</v>
      </c>
      <c r="C76" s="213" t="s">
        <v>69</v>
      </c>
      <c r="D76" s="213" t="s">
        <v>67</v>
      </c>
      <c r="E76" s="216" t="s">
        <v>125</v>
      </c>
      <c r="F76" s="210"/>
      <c r="G76" s="214">
        <f t="shared" si="11"/>
        <v>254.2</v>
      </c>
      <c r="H76" s="214">
        <f t="shared" si="11"/>
        <v>86.2</v>
      </c>
      <c r="I76" s="214">
        <f t="shared" si="12"/>
        <v>168</v>
      </c>
      <c r="J76" s="214">
        <f t="shared" si="13"/>
        <v>33.91030684500394</v>
      </c>
      <c r="K76" s="7"/>
      <c r="L76" s="7"/>
      <c r="M76" s="7"/>
    </row>
    <row r="77" spans="1:13" s="5" customFormat="1" ht="22.5">
      <c r="A77" s="211" t="s">
        <v>172</v>
      </c>
      <c r="B77" s="212" t="s">
        <v>457</v>
      </c>
      <c r="C77" s="213" t="s">
        <v>69</v>
      </c>
      <c r="D77" s="213" t="s">
        <v>67</v>
      </c>
      <c r="E77" s="216" t="s">
        <v>125</v>
      </c>
      <c r="F77" s="210">
        <v>725</v>
      </c>
      <c r="G77" s="214">
        <f>47.4+71.1+135.7</f>
        <v>254.2</v>
      </c>
      <c r="H77" s="214">
        <v>86.2</v>
      </c>
      <c r="I77" s="214">
        <f t="shared" si="12"/>
        <v>168</v>
      </c>
      <c r="J77" s="214">
        <f t="shared" si="13"/>
        <v>33.91030684500394</v>
      </c>
      <c r="K77" s="7"/>
      <c r="L77" s="7"/>
      <c r="M77" s="7"/>
    </row>
    <row r="78" spans="1:13" s="5" customFormat="1" ht="12.75">
      <c r="A78" s="207" t="s">
        <v>201</v>
      </c>
      <c r="B78" s="202" t="s">
        <v>458</v>
      </c>
      <c r="C78" s="209"/>
      <c r="D78" s="209"/>
      <c r="E78" s="217"/>
      <c r="F78" s="201"/>
      <c r="G78" s="208">
        <f aca="true" t="shared" si="14" ref="G78:H83">G79</f>
        <v>20</v>
      </c>
      <c r="H78" s="208">
        <f t="shared" si="14"/>
        <v>20</v>
      </c>
      <c r="I78" s="208">
        <f t="shared" si="12"/>
        <v>0</v>
      </c>
      <c r="J78" s="208">
        <f t="shared" si="13"/>
        <v>100</v>
      </c>
      <c r="K78" s="7"/>
      <c r="L78" s="7"/>
      <c r="M78" s="7"/>
    </row>
    <row r="79" spans="1:13" s="5" customFormat="1" ht="12.75">
      <c r="A79" s="207" t="s">
        <v>8</v>
      </c>
      <c r="B79" s="202" t="s">
        <v>458</v>
      </c>
      <c r="C79" s="209"/>
      <c r="D79" s="209"/>
      <c r="E79" s="217"/>
      <c r="F79" s="201"/>
      <c r="G79" s="208">
        <f t="shared" si="14"/>
        <v>20</v>
      </c>
      <c r="H79" s="208">
        <f t="shared" si="14"/>
        <v>20</v>
      </c>
      <c r="I79" s="208">
        <f t="shared" si="12"/>
        <v>0</v>
      </c>
      <c r="J79" s="208">
        <f t="shared" si="13"/>
        <v>100</v>
      </c>
      <c r="K79" s="7"/>
      <c r="L79" s="7"/>
      <c r="M79" s="7"/>
    </row>
    <row r="80" spans="1:13" s="5" customFormat="1" ht="12.75">
      <c r="A80" s="211" t="s">
        <v>875</v>
      </c>
      <c r="B80" s="202" t="s">
        <v>458</v>
      </c>
      <c r="C80" s="213" t="s">
        <v>69</v>
      </c>
      <c r="D80" s="213" t="s">
        <v>67</v>
      </c>
      <c r="E80" s="216"/>
      <c r="F80" s="210"/>
      <c r="G80" s="214">
        <f t="shared" si="14"/>
        <v>20</v>
      </c>
      <c r="H80" s="214">
        <f t="shared" si="14"/>
        <v>20</v>
      </c>
      <c r="I80" s="214">
        <f t="shared" si="12"/>
        <v>0</v>
      </c>
      <c r="J80" s="214">
        <f t="shared" si="13"/>
        <v>100</v>
      </c>
      <c r="K80" s="7"/>
      <c r="L80" s="7"/>
      <c r="M80" s="7"/>
    </row>
    <row r="81" spans="1:13" s="5" customFormat="1" ht="24" customHeight="1">
      <c r="A81" s="215" t="s">
        <v>114</v>
      </c>
      <c r="B81" s="202" t="s">
        <v>458</v>
      </c>
      <c r="C81" s="213" t="s">
        <v>69</v>
      </c>
      <c r="D81" s="213" t="s">
        <v>67</v>
      </c>
      <c r="E81" s="216" t="s">
        <v>115</v>
      </c>
      <c r="F81" s="210"/>
      <c r="G81" s="214">
        <f t="shared" si="14"/>
        <v>20</v>
      </c>
      <c r="H81" s="214">
        <f t="shared" si="14"/>
        <v>20</v>
      </c>
      <c r="I81" s="214">
        <f t="shared" si="12"/>
        <v>0</v>
      </c>
      <c r="J81" s="214">
        <f t="shared" si="13"/>
        <v>100</v>
      </c>
      <c r="K81" s="7"/>
      <c r="L81" s="7"/>
      <c r="M81" s="7"/>
    </row>
    <row r="82" spans="1:13" s="5" customFormat="1" ht="12.75">
      <c r="A82" s="215" t="s">
        <v>120</v>
      </c>
      <c r="B82" s="202" t="s">
        <v>458</v>
      </c>
      <c r="C82" s="213" t="s">
        <v>69</v>
      </c>
      <c r="D82" s="213" t="s">
        <v>67</v>
      </c>
      <c r="E82" s="216" t="s">
        <v>121</v>
      </c>
      <c r="F82" s="210"/>
      <c r="G82" s="214">
        <f t="shared" si="14"/>
        <v>20</v>
      </c>
      <c r="H82" s="214">
        <f t="shared" si="14"/>
        <v>20</v>
      </c>
      <c r="I82" s="214">
        <f t="shared" si="12"/>
        <v>0</v>
      </c>
      <c r="J82" s="214">
        <f t="shared" si="13"/>
        <v>100</v>
      </c>
      <c r="K82" s="7"/>
      <c r="L82" s="7"/>
      <c r="M82" s="7"/>
    </row>
    <row r="83" spans="1:13" s="5" customFormat="1" ht="12.75">
      <c r="A83" s="215" t="s">
        <v>124</v>
      </c>
      <c r="B83" s="202" t="s">
        <v>458</v>
      </c>
      <c r="C83" s="213" t="s">
        <v>69</v>
      </c>
      <c r="D83" s="213" t="s">
        <v>67</v>
      </c>
      <c r="E83" s="216" t="s">
        <v>125</v>
      </c>
      <c r="F83" s="210"/>
      <c r="G83" s="214">
        <f t="shared" si="14"/>
        <v>20</v>
      </c>
      <c r="H83" s="214">
        <f t="shared" si="14"/>
        <v>20</v>
      </c>
      <c r="I83" s="214">
        <f t="shared" si="12"/>
        <v>0</v>
      </c>
      <c r="J83" s="214">
        <f t="shared" si="13"/>
        <v>100</v>
      </c>
      <c r="K83" s="7"/>
      <c r="L83" s="7"/>
      <c r="M83" s="7"/>
    </row>
    <row r="84" spans="1:13" s="5" customFormat="1" ht="22.5">
      <c r="A84" s="211" t="s">
        <v>172</v>
      </c>
      <c r="B84" s="202" t="s">
        <v>458</v>
      </c>
      <c r="C84" s="213" t="s">
        <v>69</v>
      </c>
      <c r="D84" s="213" t="s">
        <v>67</v>
      </c>
      <c r="E84" s="216" t="s">
        <v>125</v>
      </c>
      <c r="F84" s="210">
        <v>725</v>
      </c>
      <c r="G84" s="214">
        <f>297+148-425</f>
        <v>20</v>
      </c>
      <c r="H84" s="214">
        <v>20</v>
      </c>
      <c r="I84" s="214">
        <f t="shared" si="12"/>
        <v>0</v>
      </c>
      <c r="J84" s="214">
        <f t="shared" si="13"/>
        <v>100</v>
      </c>
      <c r="K84" s="7"/>
      <c r="L84" s="7"/>
      <c r="M84" s="7"/>
    </row>
    <row r="85" spans="1:13" s="5" customFormat="1" ht="25.5" customHeight="1">
      <c r="A85" s="207" t="s">
        <v>364</v>
      </c>
      <c r="B85" s="202" t="s">
        <v>224</v>
      </c>
      <c r="C85" s="209"/>
      <c r="D85" s="209"/>
      <c r="E85" s="210"/>
      <c r="F85" s="210"/>
      <c r="G85" s="208">
        <f>G86+G104</f>
        <v>1457.3999999999999</v>
      </c>
      <c r="H85" s="208">
        <f>H86+H104</f>
        <v>1457.3</v>
      </c>
      <c r="I85" s="208">
        <f t="shared" si="12"/>
        <v>0.09999999999990905</v>
      </c>
      <c r="J85" s="208">
        <f t="shared" si="13"/>
        <v>99.99313846576095</v>
      </c>
      <c r="K85" s="180"/>
      <c r="L85" s="7"/>
      <c r="M85" s="7"/>
    </row>
    <row r="86" spans="1:13" s="5" customFormat="1" ht="21">
      <c r="A86" s="207" t="s">
        <v>296</v>
      </c>
      <c r="B86" s="202" t="s">
        <v>477</v>
      </c>
      <c r="C86" s="209"/>
      <c r="D86" s="209"/>
      <c r="E86" s="210"/>
      <c r="F86" s="210"/>
      <c r="G86" s="208">
        <f>G95+G87</f>
        <v>102</v>
      </c>
      <c r="H86" s="208">
        <f>H95+H87</f>
        <v>102</v>
      </c>
      <c r="I86" s="208">
        <f t="shared" si="12"/>
        <v>0</v>
      </c>
      <c r="J86" s="208">
        <f t="shared" si="13"/>
        <v>100</v>
      </c>
      <c r="K86" s="180"/>
      <c r="L86" s="7"/>
      <c r="M86" s="7"/>
    </row>
    <row r="87" spans="1:13" s="5" customFormat="1" ht="21">
      <c r="A87" s="207" t="s">
        <v>711</v>
      </c>
      <c r="B87" s="202" t="s">
        <v>478</v>
      </c>
      <c r="C87" s="209"/>
      <c r="D87" s="209"/>
      <c r="E87" s="201"/>
      <c r="F87" s="201"/>
      <c r="G87" s="208">
        <f aca="true" t="shared" si="15" ref="G87:H92">G88</f>
        <v>2</v>
      </c>
      <c r="H87" s="208">
        <f t="shared" si="15"/>
        <v>2</v>
      </c>
      <c r="I87" s="208">
        <f t="shared" si="12"/>
        <v>0</v>
      </c>
      <c r="J87" s="208">
        <f t="shared" si="13"/>
        <v>100</v>
      </c>
      <c r="K87" s="180"/>
      <c r="L87" s="7"/>
      <c r="M87" s="7"/>
    </row>
    <row r="88" spans="1:13" s="5" customFormat="1" ht="12.75">
      <c r="A88" s="207" t="s">
        <v>8</v>
      </c>
      <c r="B88" s="202" t="s">
        <v>478</v>
      </c>
      <c r="C88" s="209" t="s">
        <v>69</v>
      </c>
      <c r="D88" s="209" t="s">
        <v>36</v>
      </c>
      <c r="E88" s="201"/>
      <c r="F88" s="201"/>
      <c r="G88" s="208">
        <f t="shared" si="15"/>
        <v>2</v>
      </c>
      <c r="H88" s="208">
        <f t="shared" si="15"/>
        <v>2</v>
      </c>
      <c r="I88" s="208">
        <f t="shared" si="12"/>
        <v>0</v>
      </c>
      <c r="J88" s="208">
        <f t="shared" si="13"/>
        <v>100</v>
      </c>
      <c r="K88" s="180"/>
      <c r="L88" s="7"/>
      <c r="M88" s="7"/>
    </row>
    <row r="89" spans="1:13" s="5" customFormat="1" ht="12.75">
      <c r="A89" s="211" t="s">
        <v>11</v>
      </c>
      <c r="B89" s="212" t="s">
        <v>478</v>
      </c>
      <c r="C89" s="213" t="s">
        <v>69</v>
      </c>
      <c r="D89" s="213" t="s">
        <v>75</v>
      </c>
      <c r="E89" s="210"/>
      <c r="F89" s="210"/>
      <c r="G89" s="214">
        <f t="shared" si="15"/>
        <v>2</v>
      </c>
      <c r="H89" s="214">
        <f t="shared" si="15"/>
        <v>2</v>
      </c>
      <c r="I89" s="214">
        <f t="shared" si="12"/>
        <v>0</v>
      </c>
      <c r="J89" s="214">
        <f t="shared" si="13"/>
        <v>100</v>
      </c>
      <c r="K89" s="180"/>
      <c r="L89" s="7"/>
      <c r="M89" s="7"/>
    </row>
    <row r="90" spans="1:13" s="5" customFormat="1" ht="22.5">
      <c r="A90" s="215" t="s">
        <v>770</v>
      </c>
      <c r="B90" s="212" t="s">
        <v>478</v>
      </c>
      <c r="C90" s="213" t="s">
        <v>69</v>
      </c>
      <c r="D90" s="213" t="s">
        <v>75</v>
      </c>
      <c r="E90" s="216" t="s">
        <v>113</v>
      </c>
      <c r="F90" s="210"/>
      <c r="G90" s="214">
        <f t="shared" si="15"/>
        <v>2</v>
      </c>
      <c r="H90" s="214">
        <f t="shared" si="15"/>
        <v>2</v>
      </c>
      <c r="I90" s="214">
        <f t="shared" si="12"/>
        <v>0</v>
      </c>
      <c r="J90" s="214">
        <f t="shared" si="13"/>
        <v>100</v>
      </c>
      <c r="K90" s="180"/>
      <c r="L90" s="7"/>
      <c r="M90" s="7"/>
    </row>
    <row r="91" spans="1:13" s="5" customFormat="1" ht="23.25" customHeight="1">
      <c r="A91" s="215" t="s">
        <v>106</v>
      </c>
      <c r="B91" s="212" t="s">
        <v>478</v>
      </c>
      <c r="C91" s="213" t="s">
        <v>69</v>
      </c>
      <c r="D91" s="213" t="s">
        <v>75</v>
      </c>
      <c r="E91" s="216" t="s">
        <v>107</v>
      </c>
      <c r="F91" s="210"/>
      <c r="G91" s="214">
        <f t="shared" si="15"/>
        <v>2</v>
      </c>
      <c r="H91" s="214">
        <f t="shared" si="15"/>
        <v>2</v>
      </c>
      <c r="I91" s="214">
        <f t="shared" si="12"/>
        <v>0</v>
      </c>
      <c r="J91" s="214">
        <f t="shared" si="13"/>
        <v>100</v>
      </c>
      <c r="K91" s="180"/>
      <c r="L91" s="7"/>
      <c r="M91" s="7"/>
    </row>
    <row r="92" spans="1:13" s="5" customFormat="1" ht="24.75" customHeight="1">
      <c r="A92" s="215" t="s">
        <v>108</v>
      </c>
      <c r="B92" s="212" t="s">
        <v>478</v>
      </c>
      <c r="C92" s="213" t="s">
        <v>69</v>
      </c>
      <c r="D92" s="213" t="s">
        <v>75</v>
      </c>
      <c r="E92" s="216" t="s">
        <v>109</v>
      </c>
      <c r="F92" s="210"/>
      <c r="G92" s="214">
        <f t="shared" si="15"/>
        <v>2</v>
      </c>
      <c r="H92" s="214">
        <f t="shared" si="15"/>
        <v>2</v>
      </c>
      <c r="I92" s="214">
        <f t="shared" si="12"/>
        <v>0</v>
      </c>
      <c r="J92" s="214">
        <f t="shared" si="13"/>
        <v>100</v>
      </c>
      <c r="K92" s="180"/>
      <c r="L92" s="7"/>
      <c r="M92" s="7"/>
    </row>
    <row r="93" spans="1:13" s="5" customFormat="1" ht="22.5">
      <c r="A93" s="211" t="s">
        <v>172</v>
      </c>
      <c r="B93" s="212" t="s">
        <v>478</v>
      </c>
      <c r="C93" s="213" t="s">
        <v>69</v>
      </c>
      <c r="D93" s="213" t="s">
        <v>75</v>
      </c>
      <c r="E93" s="216" t="s">
        <v>109</v>
      </c>
      <c r="F93" s="210">
        <v>725</v>
      </c>
      <c r="G93" s="214">
        <v>2</v>
      </c>
      <c r="H93" s="214">
        <v>2</v>
      </c>
      <c r="I93" s="214">
        <f t="shared" si="12"/>
        <v>0</v>
      </c>
      <c r="J93" s="214">
        <f t="shared" si="13"/>
        <v>100</v>
      </c>
      <c r="K93" s="180"/>
      <c r="L93" s="7"/>
      <c r="M93" s="7"/>
    </row>
    <row r="94" spans="1:13" s="5" customFormat="1" ht="44.25" customHeight="1">
      <c r="A94" s="207" t="s">
        <v>225</v>
      </c>
      <c r="B94" s="202" t="s">
        <v>479</v>
      </c>
      <c r="C94" s="213"/>
      <c r="D94" s="213"/>
      <c r="E94" s="216"/>
      <c r="F94" s="210"/>
      <c r="G94" s="208">
        <f>G95</f>
        <v>100</v>
      </c>
      <c r="H94" s="208">
        <f>H95</f>
        <v>100</v>
      </c>
      <c r="I94" s="208">
        <f t="shared" si="12"/>
        <v>0</v>
      </c>
      <c r="J94" s="208">
        <f t="shared" si="13"/>
        <v>100</v>
      </c>
      <c r="K94" s="7"/>
      <c r="L94" s="7"/>
      <c r="M94" s="7"/>
    </row>
    <row r="95" spans="1:13" s="5" customFormat="1" ht="12.75">
      <c r="A95" s="207" t="s">
        <v>8</v>
      </c>
      <c r="B95" s="202" t="s">
        <v>479</v>
      </c>
      <c r="C95" s="209" t="s">
        <v>69</v>
      </c>
      <c r="D95" s="209" t="s">
        <v>36</v>
      </c>
      <c r="E95" s="210"/>
      <c r="F95" s="210"/>
      <c r="G95" s="208">
        <f>G96+G101</f>
        <v>100</v>
      </c>
      <c r="H95" s="208">
        <f>H96+H101</f>
        <v>100</v>
      </c>
      <c r="I95" s="208">
        <f t="shared" si="12"/>
        <v>0</v>
      </c>
      <c r="J95" s="208">
        <f t="shared" si="13"/>
        <v>100</v>
      </c>
      <c r="K95" s="7"/>
      <c r="L95" s="7"/>
      <c r="M95" s="7"/>
    </row>
    <row r="96" spans="1:13" s="5" customFormat="1" ht="12.75">
      <c r="A96" s="211" t="s">
        <v>11</v>
      </c>
      <c r="B96" s="212" t="s">
        <v>479</v>
      </c>
      <c r="C96" s="213" t="s">
        <v>69</v>
      </c>
      <c r="D96" s="213" t="s">
        <v>75</v>
      </c>
      <c r="E96" s="210"/>
      <c r="F96" s="210"/>
      <c r="G96" s="214">
        <f aca="true" t="shared" si="16" ref="G96:H99">G97</f>
        <v>70</v>
      </c>
      <c r="H96" s="214">
        <f t="shared" si="16"/>
        <v>70</v>
      </c>
      <c r="I96" s="214">
        <f t="shared" si="12"/>
        <v>0</v>
      </c>
      <c r="J96" s="214">
        <f t="shared" si="13"/>
        <v>100</v>
      </c>
      <c r="K96" s="7"/>
      <c r="L96" s="7"/>
      <c r="M96" s="7"/>
    </row>
    <row r="97" spans="1:13" s="5" customFormat="1" ht="22.5">
      <c r="A97" s="215" t="s">
        <v>770</v>
      </c>
      <c r="B97" s="212" t="s">
        <v>479</v>
      </c>
      <c r="C97" s="213" t="s">
        <v>69</v>
      </c>
      <c r="D97" s="213" t="s">
        <v>75</v>
      </c>
      <c r="E97" s="216" t="s">
        <v>113</v>
      </c>
      <c r="F97" s="210"/>
      <c r="G97" s="214">
        <f t="shared" si="16"/>
        <v>70</v>
      </c>
      <c r="H97" s="214">
        <f t="shared" si="16"/>
        <v>70</v>
      </c>
      <c r="I97" s="214">
        <f t="shared" si="12"/>
        <v>0</v>
      </c>
      <c r="J97" s="214">
        <f t="shared" si="13"/>
        <v>100</v>
      </c>
      <c r="K97" s="7"/>
      <c r="L97" s="7"/>
      <c r="M97" s="7"/>
    </row>
    <row r="98" spans="1:13" s="5" customFormat="1" ht="25.5" customHeight="1">
      <c r="A98" s="215" t="s">
        <v>106</v>
      </c>
      <c r="B98" s="212" t="s">
        <v>479</v>
      </c>
      <c r="C98" s="213" t="s">
        <v>69</v>
      </c>
      <c r="D98" s="213" t="s">
        <v>75</v>
      </c>
      <c r="E98" s="216" t="s">
        <v>107</v>
      </c>
      <c r="F98" s="210"/>
      <c r="G98" s="214">
        <f t="shared" si="16"/>
        <v>70</v>
      </c>
      <c r="H98" s="214">
        <f t="shared" si="16"/>
        <v>70</v>
      </c>
      <c r="I98" s="214">
        <f t="shared" si="12"/>
        <v>0</v>
      </c>
      <c r="J98" s="214">
        <f t="shared" si="13"/>
        <v>100</v>
      </c>
      <c r="K98" s="7"/>
      <c r="L98" s="7"/>
      <c r="M98" s="7"/>
    </row>
    <row r="99" spans="1:13" s="5" customFormat="1" ht="25.5" customHeight="1">
      <c r="A99" s="215" t="s">
        <v>108</v>
      </c>
      <c r="B99" s="212" t="s">
        <v>479</v>
      </c>
      <c r="C99" s="213" t="s">
        <v>69</v>
      </c>
      <c r="D99" s="213" t="s">
        <v>75</v>
      </c>
      <c r="E99" s="216" t="s">
        <v>109</v>
      </c>
      <c r="F99" s="210"/>
      <c r="G99" s="214">
        <f t="shared" si="16"/>
        <v>70</v>
      </c>
      <c r="H99" s="214">
        <f t="shared" si="16"/>
        <v>70</v>
      </c>
      <c r="I99" s="214">
        <f t="shared" si="12"/>
        <v>0</v>
      </c>
      <c r="J99" s="214">
        <f t="shared" si="13"/>
        <v>100</v>
      </c>
      <c r="K99" s="7"/>
      <c r="L99" s="7"/>
      <c r="M99" s="7"/>
    </row>
    <row r="100" spans="1:13" s="5" customFormat="1" ht="22.5">
      <c r="A100" s="211" t="s">
        <v>172</v>
      </c>
      <c r="B100" s="212" t="s">
        <v>479</v>
      </c>
      <c r="C100" s="213" t="s">
        <v>69</v>
      </c>
      <c r="D100" s="213" t="s">
        <v>75</v>
      </c>
      <c r="E100" s="216" t="s">
        <v>109</v>
      </c>
      <c r="F100" s="210">
        <v>725</v>
      </c>
      <c r="G100" s="214">
        <f>70</f>
        <v>70</v>
      </c>
      <c r="H100" s="214">
        <v>70</v>
      </c>
      <c r="I100" s="214">
        <f t="shared" si="12"/>
        <v>0</v>
      </c>
      <c r="J100" s="214">
        <f t="shared" si="13"/>
        <v>100</v>
      </c>
      <c r="K100" s="7"/>
      <c r="L100" s="7"/>
      <c r="M100" s="7"/>
    </row>
    <row r="101" spans="1:13" s="5" customFormat="1" ht="13.5" customHeight="1">
      <c r="A101" s="215" t="s">
        <v>126</v>
      </c>
      <c r="B101" s="212" t="s">
        <v>479</v>
      </c>
      <c r="C101" s="213" t="s">
        <v>69</v>
      </c>
      <c r="D101" s="213" t="s">
        <v>75</v>
      </c>
      <c r="E101" s="216" t="s">
        <v>127</v>
      </c>
      <c r="F101" s="210"/>
      <c r="G101" s="214">
        <f>G102</f>
        <v>30</v>
      </c>
      <c r="H101" s="214">
        <f>H102</f>
        <v>30</v>
      </c>
      <c r="I101" s="214">
        <f t="shared" si="12"/>
        <v>0</v>
      </c>
      <c r="J101" s="214">
        <f t="shared" si="13"/>
        <v>100</v>
      </c>
      <c r="K101" s="7"/>
      <c r="L101" s="7"/>
      <c r="M101" s="7"/>
    </row>
    <row r="102" spans="1:13" s="5" customFormat="1" ht="12.75">
      <c r="A102" s="215" t="s">
        <v>160</v>
      </c>
      <c r="B102" s="212" t="s">
        <v>479</v>
      </c>
      <c r="C102" s="213" t="s">
        <v>69</v>
      </c>
      <c r="D102" s="213" t="s">
        <v>75</v>
      </c>
      <c r="E102" s="216" t="s">
        <v>159</v>
      </c>
      <c r="F102" s="210"/>
      <c r="G102" s="214">
        <f>G103</f>
        <v>30</v>
      </c>
      <c r="H102" s="214">
        <f>H103</f>
        <v>30</v>
      </c>
      <c r="I102" s="214">
        <f t="shared" si="12"/>
        <v>0</v>
      </c>
      <c r="J102" s="214">
        <f t="shared" si="13"/>
        <v>100</v>
      </c>
      <c r="K102" s="7"/>
      <c r="L102" s="7"/>
      <c r="M102" s="7"/>
    </row>
    <row r="103" spans="1:13" s="5" customFormat="1" ht="22.5">
      <c r="A103" s="211" t="s">
        <v>172</v>
      </c>
      <c r="B103" s="212" t="s">
        <v>479</v>
      </c>
      <c r="C103" s="213" t="s">
        <v>69</v>
      </c>
      <c r="D103" s="213" t="s">
        <v>75</v>
      </c>
      <c r="E103" s="216" t="s">
        <v>159</v>
      </c>
      <c r="F103" s="210">
        <v>725</v>
      </c>
      <c r="G103" s="214">
        <v>30</v>
      </c>
      <c r="H103" s="214">
        <v>30</v>
      </c>
      <c r="I103" s="214">
        <f t="shared" si="12"/>
        <v>0</v>
      </c>
      <c r="J103" s="214">
        <f t="shared" si="13"/>
        <v>100</v>
      </c>
      <c r="K103" s="7"/>
      <c r="L103" s="7"/>
      <c r="M103" s="7"/>
    </row>
    <row r="104" spans="1:13" s="113" customFormat="1" ht="24.75" customHeight="1">
      <c r="A104" s="222" t="s">
        <v>676</v>
      </c>
      <c r="B104" s="219" t="s">
        <v>677</v>
      </c>
      <c r="C104" s="223"/>
      <c r="D104" s="223"/>
      <c r="E104" s="223"/>
      <c r="F104" s="201"/>
      <c r="G104" s="224">
        <f>G105+G112+G119</f>
        <v>1355.3999999999999</v>
      </c>
      <c r="H104" s="224">
        <f>H105+H112+H119</f>
        <v>1355.3</v>
      </c>
      <c r="I104" s="208">
        <f t="shared" si="12"/>
        <v>0.09999999999990905</v>
      </c>
      <c r="J104" s="208">
        <f t="shared" si="13"/>
        <v>99.9926221041759</v>
      </c>
      <c r="K104" s="58"/>
      <c r="L104" s="58"/>
      <c r="M104" s="58"/>
    </row>
    <row r="105" spans="1:13" s="113" customFormat="1" ht="45.75" customHeight="1">
      <c r="A105" s="222" t="s">
        <v>696</v>
      </c>
      <c r="B105" s="219" t="s">
        <v>678</v>
      </c>
      <c r="C105" s="223"/>
      <c r="D105" s="223"/>
      <c r="E105" s="223"/>
      <c r="F105" s="201"/>
      <c r="G105" s="224">
        <f aca="true" t="shared" si="17" ref="G105:H110">G106</f>
        <v>1185</v>
      </c>
      <c r="H105" s="224">
        <f t="shared" si="17"/>
        <v>1185</v>
      </c>
      <c r="I105" s="208">
        <f t="shared" si="12"/>
        <v>0</v>
      </c>
      <c r="J105" s="208">
        <f t="shared" si="13"/>
        <v>100</v>
      </c>
      <c r="K105" s="58"/>
      <c r="L105" s="58"/>
      <c r="M105" s="58"/>
    </row>
    <row r="106" spans="1:13" s="113" customFormat="1" ht="12.75">
      <c r="A106" s="207" t="s">
        <v>8</v>
      </c>
      <c r="B106" s="219" t="s">
        <v>678</v>
      </c>
      <c r="C106" s="223" t="s">
        <v>69</v>
      </c>
      <c r="D106" s="223" t="s">
        <v>36</v>
      </c>
      <c r="E106" s="223"/>
      <c r="F106" s="201"/>
      <c r="G106" s="224">
        <f t="shared" si="17"/>
        <v>1185</v>
      </c>
      <c r="H106" s="224">
        <f t="shared" si="17"/>
        <v>1185</v>
      </c>
      <c r="I106" s="208">
        <f t="shared" si="12"/>
        <v>0</v>
      </c>
      <c r="J106" s="208">
        <f t="shared" si="13"/>
        <v>100</v>
      </c>
      <c r="K106" s="58"/>
      <c r="L106" s="58"/>
      <c r="M106" s="58"/>
    </row>
    <row r="107" spans="1:13" s="5" customFormat="1" ht="12.75">
      <c r="A107" s="221" t="s">
        <v>9</v>
      </c>
      <c r="B107" s="220" t="s">
        <v>678</v>
      </c>
      <c r="C107" s="225" t="s">
        <v>69</v>
      </c>
      <c r="D107" s="225" t="s">
        <v>66</v>
      </c>
      <c r="E107" s="225"/>
      <c r="F107" s="210"/>
      <c r="G107" s="226">
        <f t="shared" si="17"/>
        <v>1185</v>
      </c>
      <c r="H107" s="226">
        <f t="shared" si="17"/>
        <v>1185</v>
      </c>
      <c r="I107" s="214">
        <f t="shared" si="12"/>
        <v>0</v>
      </c>
      <c r="J107" s="214">
        <f t="shared" si="13"/>
        <v>100</v>
      </c>
      <c r="K107" s="7"/>
      <c r="L107" s="7"/>
      <c r="M107" s="7"/>
    </row>
    <row r="108" spans="1:13" s="5" customFormat="1" ht="37.5" customHeight="1">
      <c r="A108" s="221" t="s">
        <v>114</v>
      </c>
      <c r="B108" s="220" t="s">
        <v>678</v>
      </c>
      <c r="C108" s="225" t="s">
        <v>69</v>
      </c>
      <c r="D108" s="225" t="s">
        <v>66</v>
      </c>
      <c r="E108" s="225" t="s">
        <v>115</v>
      </c>
      <c r="F108" s="210"/>
      <c r="G108" s="226">
        <f t="shared" si="17"/>
        <v>1185</v>
      </c>
      <c r="H108" s="226">
        <f t="shared" si="17"/>
        <v>1185</v>
      </c>
      <c r="I108" s="214">
        <f t="shared" si="12"/>
        <v>0</v>
      </c>
      <c r="J108" s="214">
        <f t="shared" si="13"/>
        <v>100</v>
      </c>
      <c r="K108" s="7"/>
      <c r="L108" s="7"/>
      <c r="M108" s="7"/>
    </row>
    <row r="109" spans="1:13" s="5" customFormat="1" ht="12.75">
      <c r="A109" s="221" t="s">
        <v>120</v>
      </c>
      <c r="B109" s="220" t="s">
        <v>678</v>
      </c>
      <c r="C109" s="225" t="s">
        <v>69</v>
      </c>
      <c r="D109" s="225" t="s">
        <v>66</v>
      </c>
      <c r="E109" s="225" t="s">
        <v>121</v>
      </c>
      <c r="F109" s="210"/>
      <c r="G109" s="226">
        <f t="shared" si="17"/>
        <v>1185</v>
      </c>
      <c r="H109" s="226">
        <f t="shared" si="17"/>
        <v>1185</v>
      </c>
      <c r="I109" s="214">
        <f t="shared" si="12"/>
        <v>0</v>
      </c>
      <c r="J109" s="214">
        <f t="shared" si="13"/>
        <v>100</v>
      </c>
      <c r="K109" s="7"/>
      <c r="L109" s="7"/>
      <c r="M109" s="7"/>
    </row>
    <row r="110" spans="1:13" s="5" customFormat="1" ht="12.75">
      <c r="A110" s="221" t="s">
        <v>124</v>
      </c>
      <c r="B110" s="220" t="s">
        <v>678</v>
      </c>
      <c r="C110" s="225" t="s">
        <v>69</v>
      </c>
      <c r="D110" s="225" t="s">
        <v>66</v>
      </c>
      <c r="E110" s="225" t="s">
        <v>125</v>
      </c>
      <c r="F110" s="210"/>
      <c r="G110" s="226">
        <f t="shared" si="17"/>
        <v>1185</v>
      </c>
      <c r="H110" s="226">
        <f t="shared" si="17"/>
        <v>1185</v>
      </c>
      <c r="I110" s="214">
        <f t="shared" si="12"/>
        <v>0</v>
      </c>
      <c r="J110" s="214">
        <f t="shared" si="13"/>
        <v>100</v>
      </c>
      <c r="K110" s="7"/>
      <c r="L110" s="7"/>
      <c r="M110" s="7"/>
    </row>
    <row r="111" spans="1:13" s="5" customFormat="1" ht="22.5">
      <c r="A111" s="211" t="s">
        <v>172</v>
      </c>
      <c r="B111" s="220" t="s">
        <v>678</v>
      </c>
      <c r="C111" s="225" t="s">
        <v>69</v>
      </c>
      <c r="D111" s="225" t="s">
        <v>66</v>
      </c>
      <c r="E111" s="225" t="s">
        <v>125</v>
      </c>
      <c r="F111" s="210">
        <v>725</v>
      </c>
      <c r="G111" s="226">
        <f>2000-815</f>
        <v>1185</v>
      </c>
      <c r="H111" s="226">
        <v>1185</v>
      </c>
      <c r="I111" s="214">
        <f t="shared" si="12"/>
        <v>0</v>
      </c>
      <c r="J111" s="214">
        <f t="shared" si="13"/>
        <v>100</v>
      </c>
      <c r="K111" s="7"/>
      <c r="L111" s="7"/>
      <c r="M111" s="7"/>
    </row>
    <row r="112" spans="1:13" s="113" customFormat="1" ht="33.75" customHeight="1">
      <c r="A112" s="222" t="s">
        <v>749</v>
      </c>
      <c r="B112" s="219" t="s">
        <v>679</v>
      </c>
      <c r="C112" s="223"/>
      <c r="D112" s="223"/>
      <c r="E112" s="223"/>
      <c r="F112" s="201"/>
      <c r="G112" s="224">
        <f aca="true" t="shared" si="18" ref="G112:H117">G113</f>
        <v>112.8</v>
      </c>
      <c r="H112" s="224">
        <f t="shared" si="18"/>
        <v>112.7</v>
      </c>
      <c r="I112" s="208">
        <f t="shared" si="12"/>
        <v>0.09999999999999432</v>
      </c>
      <c r="J112" s="208">
        <f t="shared" si="13"/>
        <v>99.91134751773049</v>
      </c>
      <c r="K112" s="58"/>
      <c r="L112" s="58"/>
      <c r="M112" s="58"/>
    </row>
    <row r="113" spans="1:13" s="113" customFormat="1" ht="12.75">
      <c r="A113" s="207" t="s">
        <v>8</v>
      </c>
      <c r="B113" s="219" t="s">
        <v>679</v>
      </c>
      <c r="C113" s="223" t="s">
        <v>69</v>
      </c>
      <c r="D113" s="223" t="s">
        <v>36</v>
      </c>
      <c r="E113" s="223"/>
      <c r="F113" s="201"/>
      <c r="G113" s="224">
        <f t="shared" si="18"/>
        <v>112.8</v>
      </c>
      <c r="H113" s="224">
        <f t="shared" si="18"/>
        <v>112.7</v>
      </c>
      <c r="I113" s="208">
        <f t="shared" si="12"/>
        <v>0.09999999999999432</v>
      </c>
      <c r="J113" s="208">
        <f t="shared" si="13"/>
        <v>99.91134751773049</v>
      </c>
      <c r="K113" s="58"/>
      <c r="L113" s="58"/>
      <c r="M113" s="58"/>
    </row>
    <row r="114" spans="1:13" s="113" customFormat="1" ht="12.75">
      <c r="A114" s="221" t="s">
        <v>9</v>
      </c>
      <c r="B114" s="220" t="s">
        <v>679</v>
      </c>
      <c r="C114" s="225" t="s">
        <v>69</v>
      </c>
      <c r="D114" s="225" t="s">
        <v>66</v>
      </c>
      <c r="E114" s="223"/>
      <c r="F114" s="201"/>
      <c r="G114" s="226">
        <f t="shared" si="18"/>
        <v>112.8</v>
      </c>
      <c r="H114" s="226">
        <f t="shared" si="18"/>
        <v>112.7</v>
      </c>
      <c r="I114" s="214">
        <f t="shared" si="12"/>
        <v>0.09999999999999432</v>
      </c>
      <c r="J114" s="214">
        <f t="shared" si="13"/>
        <v>99.91134751773049</v>
      </c>
      <c r="K114" s="58"/>
      <c r="L114" s="58"/>
      <c r="M114" s="58"/>
    </row>
    <row r="115" spans="1:13" s="5" customFormat="1" ht="35.25" customHeight="1">
      <c r="A115" s="221" t="s">
        <v>114</v>
      </c>
      <c r="B115" s="220" t="s">
        <v>679</v>
      </c>
      <c r="C115" s="225" t="s">
        <v>69</v>
      </c>
      <c r="D115" s="225" t="s">
        <v>66</v>
      </c>
      <c r="E115" s="225" t="s">
        <v>115</v>
      </c>
      <c r="F115" s="210"/>
      <c r="G115" s="226">
        <f t="shared" si="18"/>
        <v>112.8</v>
      </c>
      <c r="H115" s="226">
        <f t="shared" si="18"/>
        <v>112.7</v>
      </c>
      <c r="I115" s="214">
        <f t="shared" si="12"/>
        <v>0.09999999999999432</v>
      </c>
      <c r="J115" s="214">
        <f t="shared" si="13"/>
        <v>99.91134751773049</v>
      </c>
      <c r="K115" s="7"/>
      <c r="L115" s="7"/>
      <c r="M115" s="7"/>
    </row>
    <row r="116" spans="1:13" s="5" customFormat="1" ht="12.75">
      <c r="A116" s="221" t="s">
        <v>120</v>
      </c>
      <c r="B116" s="220" t="s">
        <v>679</v>
      </c>
      <c r="C116" s="225" t="s">
        <v>69</v>
      </c>
      <c r="D116" s="225" t="s">
        <v>66</v>
      </c>
      <c r="E116" s="225" t="s">
        <v>121</v>
      </c>
      <c r="F116" s="210"/>
      <c r="G116" s="226">
        <f t="shared" si="18"/>
        <v>112.8</v>
      </c>
      <c r="H116" s="226">
        <f t="shared" si="18"/>
        <v>112.7</v>
      </c>
      <c r="I116" s="214">
        <f t="shared" si="12"/>
        <v>0.09999999999999432</v>
      </c>
      <c r="J116" s="214">
        <f t="shared" si="13"/>
        <v>99.91134751773049</v>
      </c>
      <c r="K116" s="7"/>
      <c r="L116" s="7"/>
      <c r="M116" s="7"/>
    </row>
    <row r="117" spans="1:13" s="5" customFormat="1" ht="12.75">
      <c r="A117" s="221" t="s">
        <v>124</v>
      </c>
      <c r="B117" s="220" t="s">
        <v>679</v>
      </c>
      <c r="C117" s="225" t="s">
        <v>69</v>
      </c>
      <c r="D117" s="225" t="s">
        <v>66</v>
      </c>
      <c r="E117" s="225" t="s">
        <v>125</v>
      </c>
      <c r="F117" s="210"/>
      <c r="G117" s="226">
        <f t="shared" si="18"/>
        <v>112.8</v>
      </c>
      <c r="H117" s="226">
        <f t="shared" si="18"/>
        <v>112.7</v>
      </c>
      <c r="I117" s="214">
        <f t="shared" si="12"/>
        <v>0.09999999999999432</v>
      </c>
      <c r="J117" s="214">
        <f t="shared" si="13"/>
        <v>99.91134751773049</v>
      </c>
      <c r="K117" s="7"/>
      <c r="L117" s="7"/>
      <c r="M117" s="7"/>
    </row>
    <row r="118" spans="1:13" s="5" customFormat="1" ht="22.5">
      <c r="A118" s="211" t="s">
        <v>172</v>
      </c>
      <c r="B118" s="220" t="s">
        <v>679</v>
      </c>
      <c r="C118" s="225" t="s">
        <v>69</v>
      </c>
      <c r="D118" s="225" t="s">
        <v>66</v>
      </c>
      <c r="E118" s="225" t="s">
        <v>125</v>
      </c>
      <c r="F118" s="210">
        <v>725</v>
      </c>
      <c r="G118" s="226">
        <v>112.8</v>
      </c>
      <c r="H118" s="226">
        <v>112.7</v>
      </c>
      <c r="I118" s="214">
        <f t="shared" si="12"/>
        <v>0.09999999999999432</v>
      </c>
      <c r="J118" s="214">
        <f t="shared" si="13"/>
        <v>99.91134751773049</v>
      </c>
      <c r="K118" s="7"/>
      <c r="L118" s="7"/>
      <c r="M118" s="7"/>
    </row>
    <row r="119" spans="1:13" s="113" customFormat="1" ht="102" customHeight="1">
      <c r="A119" s="222" t="s">
        <v>735</v>
      </c>
      <c r="B119" s="219" t="s">
        <v>736</v>
      </c>
      <c r="C119" s="223"/>
      <c r="D119" s="223"/>
      <c r="E119" s="223"/>
      <c r="F119" s="201"/>
      <c r="G119" s="224">
        <f aca="true" t="shared" si="19" ref="G119:H124">G120</f>
        <v>57.599999999999994</v>
      </c>
      <c r="H119" s="224">
        <f t="shared" si="19"/>
        <v>57.6</v>
      </c>
      <c r="I119" s="208">
        <f t="shared" si="12"/>
        <v>0</v>
      </c>
      <c r="J119" s="208">
        <f t="shared" si="13"/>
        <v>100.00000000000003</v>
      </c>
      <c r="K119" s="58"/>
      <c r="L119" s="58"/>
      <c r="M119" s="58"/>
    </row>
    <row r="120" spans="1:13" s="113" customFormat="1" ht="12.75">
      <c r="A120" s="207" t="s">
        <v>8</v>
      </c>
      <c r="B120" s="219" t="s">
        <v>736</v>
      </c>
      <c r="C120" s="223" t="s">
        <v>69</v>
      </c>
      <c r="D120" s="223" t="s">
        <v>36</v>
      </c>
      <c r="E120" s="223"/>
      <c r="F120" s="201"/>
      <c r="G120" s="224">
        <f t="shared" si="19"/>
        <v>57.599999999999994</v>
      </c>
      <c r="H120" s="224">
        <f t="shared" si="19"/>
        <v>57.6</v>
      </c>
      <c r="I120" s="208">
        <f t="shared" si="12"/>
        <v>0</v>
      </c>
      <c r="J120" s="208">
        <f t="shared" si="13"/>
        <v>100.00000000000003</v>
      </c>
      <c r="K120" s="58"/>
      <c r="L120" s="58"/>
      <c r="M120" s="58"/>
    </row>
    <row r="121" spans="1:13" s="113" customFormat="1" ht="12.75">
      <c r="A121" s="221" t="s">
        <v>9</v>
      </c>
      <c r="B121" s="220" t="s">
        <v>736</v>
      </c>
      <c r="C121" s="225" t="s">
        <v>69</v>
      </c>
      <c r="D121" s="225" t="s">
        <v>66</v>
      </c>
      <c r="E121" s="223"/>
      <c r="F121" s="201"/>
      <c r="G121" s="226">
        <f t="shared" si="19"/>
        <v>57.599999999999994</v>
      </c>
      <c r="H121" s="226">
        <f t="shared" si="19"/>
        <v>57.6</v>
      </c>
      <c r="I121" s="214">
        <f t="shared" si="12"/>
        <v>0</v>
      </c>
      <c r="J121" s="214">
        <f t="shared" si="13"/>
        <v>100.00000000000003</v>
      </c>
      <c r="K121" s="58"/>
      <c r="L121" s="58"/>
      <c r="M121" s="58"/>
    </row>
    <row r="122" spans="1:13" s="5" customFormat="1" ht="23.25" customHeight="1">
      <c r="A122" s="221" t="s">
        <v>114</v>
      </c>
      <c r="B122" s="220" t="s">
        <v>736</v>
      </c>
      <c r="C122" s="225" t="s">
        <v>69</v>
      </c>
      <c r="D122" s="225" t="s">
        <v>66</v>
      </c>
      <c r="E122" s="225" t="s">
        <v>115</v>
      </c>
      <c r="F122" s="210"/>
      <c r="G122" s="226">
        <f t="shared" si="19"/>
        <v>57.599999999999994</v>
      </c>
      <c r="H122" s="226">
        <f t="shared" si="19"/>
        <v>57.6</v>
      </c>
      <c r="I122" s="214">
        <f t="shared" si="12"/>
        <v>0</v>
      </c>
      <c r="J122" s="214">
        <f t="shared" si="13"/>
        <v>100.00000000000003</v>
      </c>
      <c r="K122" s="7"/>
      <c r="L122" s="7"/>
      <c r="M122" s="7"/>
    </row>
    <row r="123" spans="1:13" s="5" customFormat="1" ht="12.75">
      <c r="A123" s="221" t="s">
        <v>120</v>
      </c>
      <c r="B123" s="220" t="s">
        <v>736</v>
      </c>
      <c r="C123" s="225" t="s">
        <v>69</v>
      </c>
      <c r="D123" s="225" t="s">
        <v>66</v>
      </c>
      <c r="E123" s="225" t="s">
        <v>121</v>
      </c>
      <c r="F123" s="210"/>
      <c r="G123" s="226">
        <f t="shared" si="19"/>
        <v>57.599999999999994</v>
      </c>
      <c r="H123" s="226">
        <f t="shared" si="19"/>
        <v>57.6</v>
      </c>
      <c r="I123" s="214">
        <f t="shared" si="12"/>
        <v>0</v>
      </c>
      <c r="J123" s="214">
        <f t="shared" si="13"/>
        <v>100.00000000000003</v>
      </c>
      <c r="K123" s="7"/>
      <c r="L123" s="7"/>
      <c r="M123" s="7"/>
    </row>
    <row r="124" spans="1:13" s="5" customFormat="1" ht="12.75">
      <c r="A124" s="221" t="s">
        <v>124</v>
      </c>
      <c r="B124" s="220" t="s">
        <v>736</v>
      </c>
      <c r="C124" s="225" t="s">
        <v>69</v>
      </c>
      <c r="D124" s="225" t="s">
        <v>66</v>
      </c>
      <c r="E124" s="225" t="s">
        <v>125</v>
      </c>
      <c r="F124" s="210"/>
      <c r="G124" s="226">
        <f t="shared" si="19"/>
        <v>57.599999999999994</v>
      </c>
      <c r="H124" s="226">
        <f t="shared" si="19"/>
        <v>57.6</v>
      </c>
      <c r="I124" s="214">
        <f t="shared" si="12"/>
        <v>0</v>
      </c>
      <c r="J124" s="214">
        <f t="shared" si="13"/>
        <v>100.00000000000003</v>
      </c>
      <c r="K124" s="7"/>
      <c r="L124" s="7"/>
      <c r="M124" s="7"/>
    </row>
    <row r="125" spans="1:13" s="5" customFormat="1" ht="22.5">
      <c r="A125" s="211" t="s">
        <v>172</v>
      </c>
      <c r="B125" s="220" t="s">
        <v>736</v>
      </c>
      <c r="C125" s="225" t="s">
        <v>69</v>
      </c>
      <c r="D125" s="225" t="s">
        <v>66</v>
      </c>
      <c r="E125" s="225" t="s">
        <v>125</v>
      </c>
      <c r="F125" s="227">
        <v>725</v>
      </c>
      <c r="G125" s="226">
        <f>221.2-163.6</f>
        <v>57.599999999999994</v>
      </c>
      <c r="H125" s="226">
        <v>57.6</v>
      </c>
      <c r="I125" s="214">
        <f t="shared" si="12"/>
        <v>0</v>
      </c>
      <c r="J125" s="214">
        <f t="shared" si="13"/>
        <v>100.00000000000003</v>
      </c>
      <c r="K125" s="7"/>
      <c r="L125" s="7"/>
      <c r="M125" s="7"/>
    </row>
    <row r="126" spans="1:13" s="5" customFormat="1" ht="21">
      <c r="A126" s="207" t="s">
        <v>215</v>
      </c>
      <c r="B126" s="202" t="s">
        <v>216</v>
      </c>
      <c r="C126" s="209"/>
      <c r="D126" s="209"/>
      <c r="E126" s="210"/>
      <c r="F126" s="210"/>
      <c r="G126" s="208">
        <f aca="true" t="shared" si="20" ref="G126:H129">G127</f>
        <v>323</v>
      </c>
      <c r="H126" s="208">
        <f t="shared" si="20"/>
        <v>323</v>
      </c>
      <c r="I126" s="208">
        <f t="shared" si="12"/>
        <v>0</v>
      </c>
      <c r="J126" s="208">
        <f t="shared" si="13"/>
        <v>100</v>
      </c>
      <c r="K126" s="180"/>
      <c r="L126" s="7"/>
      <c r="M126" s="7"/>
    </row>
    <row r="127" spans="1:13" s="5" customFormat="1" ht="31.5">
      <c r="A127" s="207" t="s">
        <v>292</v>
      </c>
      <c r="B127" s="202" t="s">
        <v>462</v>
      </c>
      <c r="C127" s="209"/>
      <c r="D127" s="209"/>
      <c r="E127" s="210"/>
      <c r="F127" s="210"/>
      <c r="G127" s="208">
        <f t="shared" si="20"/>
        <v>323</v>
      </c>
      <c r="H127" s="208">
        <f t="shared" si="20"/>
        <v>323</v>
      </c>
      <c r="I127" s="208">
        <f t="shared" si="12"/>
        <v>0</v>
      </c>
      <c r="J127" s="208">
        <f t="shared" si="13"/>
        <v>100</v>
      </c>
      <c r="K127" s="180"/>
      <c r="L127" s="7"/>
      <c r="M127" s="7"/>
    </row>
    <row r="128" spans="1:13" s="5" customFormat="1" ht="12.75">
      <c r="A128" s="207" t="s">
        <v>217</v>
      </c>
      <c r="B128" s="202" t="s">
        <v>463</v>
      </c>
      <c r="C128" s="209"/>
      <c r="D128" s="209"/>
      <c r="E128" s="210"/>
      <c r="F128" s="210"/>
      <c r="G128" s="208">
        <f t="shared" si="20"/>
        <v>323</v>
      </c>
      <c r="H128" s="208">
        <f t="shared" si="20"/>
        <v>323</v>
      </c>
      <c r="I128" s="208">
        <f t="shared" si="12"/>
        <v>0</v>
      </c>
      <c r="J128" s="208">
        <f t="shared" si="13"/>
        <v>100</v>
      </c>
      <c r="K128" s="180"/>
      <c r="L128" s="7"/>
      <c r="M128" s="7"/>
    </row>
    <row r="129" spans="1:13" s="5" customFormat="1" ht="12.75">
      <c r="A129" s="207" t="s">
        <v>8</v>
      </c>
      <c r="B129" s="202" t="s">
        <v>463</v>
      </c>
      <c r="C129" s="209" t="s">
        <v>69</v>
      </c>
      <c r="D129" s="209" t="s">
        <v>36</v>
      </c>
      <c r="E129" s="210"/>
      <c r="F129" s="210"/>
      <c r="G129" s="208">
        <f t="shared" si="20"/>
        <v>323</v>
      </c>
      <c r="H129" s="208">
        <f t="shared" si="20"/>
        <v>323</v>
      </c>
      <c r="I129" s="208">
        <f t="shared" si="12"/>
        <v>0</v>
      </c>
      <c r="J129" s="208">
        <f t="shared" si="13"/>
        <v>100</v>
      </c>
      <c r="K129" s="7"/>
      <c r="L129" s="7"/>
      <c r="M129" s="7"/>
    </row>
    <row r="130" spans="1:13" s="5" customFormat="1" ht="12.75" customHeight="1">
      <c r="A130" s="228" t="s">
        <v>876</v>
      </c>
      <c r="B130" s="212" t="s">
        <v>463</v>
      </c>
      <c r="C130" s="213" t="s">
        <v>69</v>
      </c>
      <c r="D130" s="213" t="s">
        <v>69</v>
      </c>
      <c r="E130" s="210"/>
      <c r="F130" s="210"/>
      <c r="G130" s="214">
        <f>G131+G135</f>
        <v>323</v>
      </c>
      <c r="H130" s="214">
        <f>H131+H135</f>
        <v>323</v>
      </c>
      <c r="I130" s="214">
        <f t="shared" si="12"/>
        <v>0</v>
      </c>
      <c r="J130" s="214">
        <f t="shared" si="13"/>
        <v>100</v>
      </c>
      <c r="K130" s="7"/>
      <c r="L130" s="7"/>
      <c r="M130" s="7"/>
    </row>
    <row r="131" spans="1:13" s="5" customFormat="1" ht="22.5">
      <c r="A131" s="215" t="s">
        <v>770</v>
      </c>
      <c r="B131" s="212" t="s">
        <v>463</v>
      </c>
      <c r="C131" s="213" t="s">
        <v>69</v>
      </c>
      <c r="D131" s="213" t="s">
        <v>69</v>
      </c>
      <c r="E131" s="216" t="s">
        <v>113</v>
      </c>
      <c r="F131" s="210"/>
      <c r="G131" s="214">
        <f aca="true" t="shared" si="21" ref="G131:H133">G132</f>
        <v>57</v>
      </c>
      <c r="H131" s="214">
        <f t="shared" si="21"/>
        <v>57</v>
      </c>
      <c r="I131" s="214">
        <f t="shared" si="12"/>
        <v>0</v>
      </c>
      <c r="J131" s="214">
        <f t="shared" si="13"/>
        <v>100</v>
      </c>
      <c r="K131" s="7"/>
      <c r="L131" s="7"/>
      <c r="M131" s="7"/>
    </row>
    <row r="132" spans="1:13" s="5" customFormat="1" ht="21.75" customHeight="1">
      <c r="A132" s="215" t="s">
        <v>106</v>
      </c>
      <c r="B132" s="212" t="s">
        <v>463</v>
      </c>
      <c r="C132" s="213" t="s">
        <v>69</v>
      </c>
      <c r="D132" s="213" t="s">
        <v>69</v>
      </c>
      <c r="E132" s="216" t="s">
        <v>107</v>
      </c>
      <c r="F132" s="210"/>
      <c r="G132" s="214">
        <f t="shared" si="21"/>
        <v>57</v>
      </c>
      <c r="H132" s="214">
        <f t="shared" si="21"/>
        <v>57</v>
      </c>
      <c r="I132" s="214">
        <f t="shared" si="12"/>
        <v>0</v>
      </c>
      <c r="J132" s="214">
        <f t="shared" si="13"/>
        <v>100</v>
      </c>
      <c r="K132" s="7"/>
      <c r="L132" s="7"/>
      <c r="M132" s="7"/>
    </row>
    <row r="133" spans="1:13" s="5" customFormat="1" ht="26.25" customHeight="1">
      <c r="A133" s="215" t="s">
        <v>108</v>
      </c>
      <c r="B133" s="212" t="s">
        <v>463</v>
      </c>
      <c r="C133" s="213" t="s">
        <v>69</v>
      </c>
      <c r="D133" s="213" t="s">
        <v>69</v>
      </c>
      <c r="E133" s="216" t="s">
        <v>109</v>
      </c>
      <c r="F133" s="210"/>
      <c r="G133" s="214">
        <f t="shared" si="21"/>
        <v>57</v>
      </c>
      <c r="H133" s="214">
        <f t="shared" si="21"/>
        <v>57</v>
      </c>
      <c r="I133" s="214">
        <f t="shared" si="12"/>
        <v>0</v>
      </c>
      <c r="J133" s="214">
        <f t="shared" si="13"/>
        <v>100</v>
      </c>
      <c r="K133" s="7"/>
      <c r="L133" s="7"/>
      <c r="M133" s="7"/>
    </row>
    <row r="134" spans="1:13" s="5" customFormat="1" ht="22.5">
      <c r="A134" s="211" t="s">
        <v>172</v>
      </c>
      <c r="B134" s="212" t="s">
        <v>463</v>
      </c>
      <c r="C134" s="213" t="s">
        <v>69</v>
      </c>
      <c r="D134" s="213" t="s">
        <v>69</v>
      </c>
      <c r="E134" s="216" t="s">
        <v>109</v>
      </c>
      <c r="F134" s="210">
        <v>725</v>
      </c>
      <c r="G134" s="214">
        <f>28+35+2+20-13-15</f>
        <v>57</v>
      </c>
      <c r="H134" s="214">
        <v>57</v>
      </c>
      <c r="I134" s="214">
        <f t="shared" si="12"/>
        <v>0</v>
      </c>
      <c r="J134" s="214">
        <f t="shared" si="13"/>
        <v>100</v>
      </c>
      <c r="K134" s="7"/>
      <c r="L134" s="7"/>
      <c r="M134" s="7"/>
    </row>
    <row r="135" spans="1:13" s="5" customFormat="1" ht="24" customHeight="1">
      <c r="A135" s="215" t="s">
        <v>126</v>
      </c>
      <c r="B135" s="212" t="s">
        <v>463</v>
      </c>
      <c r="C135" s="216" t="s">
        <v>69</v>
      </c>
      <c r="D135" s="216" t="s">
        <v>69</v>
      </c>
      <c r="E135" s="216" t="s">
        <v>127</v>
      </c>
      <c r="F135" s="210"/>
      <c r="G135" s="214">
        <f>G136+G138+G140</f>
        <v>266</v>
      </c>
      <c r="H135" s="214">
        <f>H136+H138+H140</f>
        <v>266</v>
      </c>
      <c r="I135" s="214">
        <f t="shared" si="12"/>
        <v>0</v>
      </c>
      <c r="J135" s="214">
        <f t="shared" si="13"/>
        <v>100</v>
      </c>
      <c r="K135" s="7"/>
      <c r="L135" s="7"/>
      <c r="M135" s="7"/>
    </row>
    <row r="136" spans="1:13" s="5" customFormat="1" ht="12.75">
      <c r="A136" s="215" t="s">
        <v>158</v>
      </c>
      <c r="B136" s="212" t="s">
        <v>463</v>
      </c>
      <c r="C136" s="216" t="s">
        <v>69</v>
      </c>
      <c r="D136" s="216" t="s">
        <v>69</v>
      </c>
      <c r="E136" s="216" t="s">
        <v>157</v>
      </c>
      <c r="F136" s="210"/>
      <c r="G136" s="214">
        <f>G137</f>
        <v>216</v>
      </c>
      <c r="H136" s="214">
        <f>H137</f>
        <v>216</v>
      </c>
      <c r="I136" s="214">
        <f t="shared" si="12"/>
        <v>0</v>
      </c>
      <c r="J136" s="214">
        <f t="shared" si="13"/>
        <v>100</v>
      </c>
      <c r="K136" s="7"/>
      <c r="L136" s="7"/>
      <c r="M136" s="7"/>
    </row>
    <row r="137" spans="1:13" s="5" customFormat="1" ht="22.5">
      <c r="A137" s="211" t="s">
        <v>172</v>
      </c>
      <c r="B137" s="212" t="s">
        <v>463</v>
      </c>
      <c r="C137" s="216" t="s">
        <v>69</v>
      </c>
      <c r="D137" s="216" t="s">
        <v>69</v>
      </c>
      <c r="E137" s="216" t="s">
        <v>157</v>
      </c>
      <c r="F137" s="210">
        <v>725</v>
      </c>
      <c r="G137" s="214">
        <f>162+54+50-50</f>
        <v>216</v>
      </c>
      <c r="H137" s="214">
        <v>216</v>
      </c>
      <c r="I137" s="214">
        <f aca="true" t="shared" si="22" ref="I137:I200">G137-H137</f>
        <v>0</v>
      </c>
      <c r="J137" s="214">
        <f>H137/G137*100</f>
        <v>100</v>
      </c>
      <c r="K137" s="7"/>
      <c r="L137" s="7"/>
      <c r="M137" s="7"/>
    </row>
    <row r="138" spans="1:13" s="5" customFormat="1" ht="12.75">
      <c r="A138" s="215" t="s">
        <v>160</v>
      </c>
      <c r="B138" s="212" t="s">
        <v>463</v>
      </c>
      <c r="C138" s="216" t="s">
        <v>69</v>
      </c>
      <c r="D138" s="216" t="s">
        <v>69</v>
      </c>
      <c r="E138" s="216" t="s">
        <v>159</v>
      </c>
      <c r="F138" s="210"/>
      <c r="G138" s="214">
        <f>G139</f>
        <v>50</v>
      </c>
      <c r="H138" s="214">
        <f>H139</f>
        <v>50</v>
      </c>
      <c r="I138" s="214">
        <f t="shared" si="22"/>
        <v>0</v>
      </c>
      <c r="J138" s="214">
        <f>H138/G138*100</f>
        <v>100</v>
      </c>
      <c r="K138" s="7"/>
      <c r="L138" s="7"/>
      <c r="M138" s="7"/>
    </row>
    <row r="139" spans="1:13" s="5" customFormat="1" ht="22.5">
      <c r="A139" s="211" t="s">
        <v>172</v>
      </c>
      <c r="B139" s="212" t="s">
        <v>463</v>
      </c>
      <c r="C139" s="216" t="s">
        <v>69</v>
      </c>
      <c r="D139" s="216" t="s">
        <v>69</v>
      </c>
      <c r="E139" s="216" t="s">
        <v>159</v>
      </c>
      <c r="F139" s="210">
        <v>725</v>
      </c>
      <c r="G139" s="214">
        <f>70-20</f>
        <v>50</v>
      </c>
      <c r="H139" s="214">
        <v>50</v>
      </c>
      <c r="I139" s="214">
        <f t="shared" si="22"/>
        <v>0</v>
      </c>
      <c r="J139" s="214">
        <f>H139/G139*100</f>
        <v>100</v>
      </c>
      <c r="K139" s="7"/>
      <c r="L139" s="7"/>
      <c r="M139" s="7"/>
    </row>
    <row r="140" spans="1:13" s="5" customFormat="1" ht="12.75">
      <c r="A140" s="215" t="s">
        <v>132</v>
      </c>
      <c r="B140" s="212" t="s">
        <v>463</v>
      </c>
      <c r="C140" s="216" t="s">
        <v>69</v>
      </c>
      <c r="D140" s="216" t="s">
        <v>69</v>
      </c>
      <c r="E140" s="216" t="s">
        <v>133</v>
      </c>
      <c r="F140" s="210"/>
      <c r="G140" s="214">
        <f>G141</f>
        <v>0</v>
      </c>
      <c r="H140" s="214">
        <f>H141</f>
        <v>0</v>
      </c>
      <c r="I140" s="214">
        <f t="shared" si="22"/>
        <v>0</v>
      </c>
      <c r="J140" s="214"/>
      <c r="K140" s="7"/>
      <c r="L140" s="7"/>
      <c r="M140" s="7"/>
    </row>
    <row r="141" spans="1:13" s="5" customFormat="1" ht="22.5">
      <c r="A141" s="211" t="s">
        <v>172</v>
      </c>
      <c r="B141" s="212" t="s">
        <v>463</v>
      </c>
      <c r="C141" s="216" t="s">
        <v>69</v>
      </c>
      <c r="D141" s="216" t="s">
        <v>69</v>
      </c>
      <c r="E141" s="216" t="s">
        <v>133</v>
      </c>
      <c r="F141" s="210">
        <v>725</v>
      </c>
      <c r="G141" s="214"/>
      <c r="H141" s="214"/>
      <c r="I141" s="214">
        <f t="shared" si="22"/>
        <v>0</v>
      </c>
      <c r="J141" s="214"/>
      <c r="K141" s="7"/>
      <c r="L141" s="7"/>
      <c r="M141" s="7"/>
    </row>
    <row r="142" spans="1:13" s="5" customFormat="1" ht="36" customHeight="1">
      <c r="A142" s="207" t="s">
        <v>362</v>
      </c>
      <c r="B142" s="202" t="s">
        <v>219</v>
      </c>
      <c r="C142" s="209"/>
      <c r="D142" s="209"/>
      <c r="E142" s="210"/>
      <c r="F142" s="210"/>
      <c r="G142" s="208">
        <f aca="true" t="shared" si="23" ref="G142:H145">G143</f>
        <v>540</v>
      </c>
      <c r="H142" s="208">
        <f t="shared" si="23"/>
        <v>540</v>
      </c>
      <c r="I142" s="208">
        <f t="shared" si="22"/>
        <v>0</v>
      </c>
      <c r="J142" s="208">
        <f aca="true" t="shared" si="24" ref="J142:J205">H142/G142*100</f>
        <v>100</v>
      </c>
      <c r="K142" s="180"/>
      <c r="L142" s="7"/>
      <c r="M142" s="7"/>
    </row>
    <row r="143" spans="1:13" s="5" customFormat="1" ht="56.25" customHeight="1">
      <c r="A143" s="207" t="s">
        <v>578</v>
      </c>
      <c r="B143" s="202" t="s">
        <v>464</v>
      </c>
      <c r="C143" s="209"/>
      <c r="D143" s="209"/>
      <c r="E143" s="201"/>
      <c r="F143" s="201"/>
      <c r="G143" s="208">
        <f t="shared" si="23"/>
        <v>540</v>
      </c>
      <c r="H143" s="208">
        <f t="shared" si="23"/>
        <v>540</v>
      </c>
      <c r="I143" s="208">
        <f t="shared" si="22"/>
        <v>0</v>
      </c>
      <c r="J143" s="208">
        <f t="shared" si="24"/>
        <v>100</v>
      </c>
      <c r="K143" s="180"/>
      <c r="L143" s="7"/>
      <c r="M143" s="7"/>
    </row>
    <row r="144" spans="1:13" s="5" customFormat="1" ht="14.25" customHeight="1">
      <c r="A144" s="207" t="s">
        <v>218</v>
      </c>
      <c r="B144" s="202" t="s">
        <v>465</v>
      </c>
      <c r="C144" s="209"/>
      <c r="D144" s="209"/>
      <c r="E144" s="201"/>
      <c r="F144" s="201"/>
      <c r="G144" s="208">
        <f t="shared" si="23"/>
        <v>540</v>
      </c>
      <c r="H144" s="208">
        <f t="shared" si="23"/>
        <v>540</v>
      </c>
      <c r="I144" s="208">
        <f t="shared" si="22"/>
        <v>0</v>
      </c>
      <c r="J144" s="208">
        <f t="shared" si="24"/>
        <v>100</v>
      </c>
      <c r="K144" s="180"/>
      <c r="L144" s="7"/>
      <c r="M144" s="7"/>
    </row>
    <row r="145" spans="1:13" s="5" customFormat="1" ht="13.5" customHeight="1">
      <c r="A145" s="207" t="s">
        <v>8</v>
      </c>
      <c r="B145" s="202" t="s">
        <v>465</v>
      </c>
      <c r="C145" s="209" t="s">
        <v>69</v>
      </c>
      <c r="D145" s="209" t="s">
        <v>36</v>
      </c>
      <c r="E145" s="210"/>
      <c r="F145" s="210"/>
      <c r="G145" s="208">
        <f t="shared" si="23"/>
        <v>540</v>
      </c>
      <c r="H145" s="208">
        <f t="shared" si="23"/>
        <v>540</v>
      </c>
      <c r="I145" s="208">
        <f t="shared" si="22"/>
        <v>0</v>
      </c>
      <c r="J145" s="208">
        <f t="shared" si="24"/>
        <v>100</v>
      </c>
      <c r="K145" s="7"/>
      <c r="L145" s="7"/>
      <c r="M145" s="7"/>
    </row>
    <row r="146" spans="1:13" s="5" customFormat="1" ht="12.75">
      <c r="A146" s="228" t="s">
        <v>876</v>
      </c>
      <c r="B146" s="212" t="s">
        <v>465</v>
      </c>
      <c r="C146" s="213" t="s">
        <v>69</v>
      </c>
      <c r="D146" s="213" t="s">
        <v>69</v>
      </c>
      <c r="E146" s="210"/>
      <c r="F146" s="210"/>
      <c r="G146" s="214">
        <f>G147+G151</f>
        <v>540</v>
      </c>
      <c r="H146" s="214">
        <f>H147+H151</f>
        <v>540</v>
      </c>
      <c r="I146" s="214">
        <f t="shared" si="22"/>
        <v>0</v>
      </c>
      <c r="J146" s="214">
        <f t="shared" si="24"/>
        <v>100</v>
      </c>
      <c r="K146" s="7"/>
      <c r="L146" s="7"/>
      <c r="M146" s="7"/>
    </row>
    <row r="147" spans="1:13" s="5" customFormat="1" ht="24" customHeight="1">
      <c r="A147" s="215" t="s">
        <v>114</v>
      </c>
      <c r="B147" s="212" t="s">
        <v>465</v>
      </c>
      <c r="C147" s="213" t="s">
        <v>69</v>
      </c>
      <c r="D147" s="213" t="s">
        <v>69</v>
      </c>
      <c r="E147" s="216" t="s">
        <v>115</v>
      </c>
      <c r="F147" s="210"/>
      <c r="G147" s="214">
        <f aca="true" t="shared" si="25" ref="G147:H149">G148</f>
        <v>447.6</v>
      </c>
      <c r="H147" s="214">
        <f t="shared" si="25"/>
        <v>447.6</v>
      </c>
      <c r="I147" s="214">
        <f t="shared" si="22"/>
        <v>0</v>
      </c>
      <c r="J147" s="214">
        <f t="shared" si="24"/>
        <v>100</v>
      </c>
      <c r="K147" s="7"/>
      <c r="L147" s="7"/>
      <c r="M147" s="7"/>
    </row>
    <row r="148" spans="1:13" s="5" customFormat="1" ht="12.75">
      <c r="A148" s="215" t="s">
        <v>120</v>
      </c>
      <c r="B148" s="212" t="s">
        <v>465</v>
      </c>
      <c r="C148" s="213" t="s">
        <v>69</v>
      </c>
      <c r="D148" s="213" t="s">
        <v>69</v>
      </c>
      <c r="E148" s="216" t="s">
        <v>121</v>
      </c>
      <c r="F148" s="210"/>
      <c r="G148" s="214">
        <f t="shared" si="25"/>
        <v>447.6</v>
      </c>
      <c r="H148" s="214">
        <f t="shared" si="25"/>
        <v>447.6</v>
      </c>
      <c r="I148" s="214">
        <f t="shared" si="22"/>
        <v>0</v>
      </c>
      <c r="J148" s="214">
        <f t="shared" si="24"/>
        <v>100</v>
      </c>
      <c r="K148" s="7"/>
      <c r="L148" s="7"/>
      <c r="M148" s="7"/>
    </row>
    <row r="149" spans="1:13" s="5" customFormat="1" ht="12.75">
      <c r="A149" s="215" t="s">
        <v>124</v>
      </c>
      <c r="B149" s="212" t="s">
        <v>465</v>
      </c>
      <c r="C149" s="213" t="s">
        <v>69</v>
      </c>
      <c r="D149" s="213" t="s">
        <v>69</v>
      </c>
      <c r="E149" s="216" t="s">
        <v>125</v>
      </c>
      <c r="F149" s="210"/>
      <c r="G149" s="214">
        <f t="shared" si="25"/>
        <v>447.6</v>
      </c>
      <c r="H149" s="214">
        <f t="shared" si="25"/>
        <v>447.6</v>
      </c>
      <c r="I149" s="214">
        <f t="shared" si="22"/>
        <v>0</v>
      </c>
      <c r="J149" s="214">
        <f t="shared" si="24"/>
        <v>100</v>
      </c>
      <c r="K149" s="7"/>
      <c r="L149" s="7"/>
      <c r="M149" s="7"/>
    </row>
    <row r="150" spans="1:13" s="5" customFormat="1" ht="22.5">
      <c r="A150" s="215" t="s">
        <v>172</v>
      </c>
      <c r="B150" s="212" t="s">
        <v>465</v>
      </c>
      <c r="C150" s="213" t="s">
        <v>69</v>
      </c>
      <c r="D150" s="213" t="s">
        <v>69</v>
      </c>
      <c r="E150" s="216" t="s">
        <v>125</v>
      </c>
      <c r="F150" s="210">
        <v>725</v>
      </c>
      <c r="G150" s="214">
        <f>463-15.4</f>
        <v>447.6</v>
      </c>
      <c r="H150" s="214">
        <v>447.6</v>
      </c>
      <c r="I150" s="214">
        <f t="shared" si="22"/>
        <v>0</v>
      </c>
      <c r="J150" s="214">
        <f t="shared" si="24"/>
        <v>100</v>
      </c>
      <c r="K150" s="7"/>
      <c r="L150" s="7"/>
      <c r="M150" s="7"/>
    </row>
    <row r="151" spans="1:13" s="5" customFormat="1" ht="62.25" customHeight="1">
      <c r="A151" s="211" t="s">
        <v>110</v>
      </c>
      <c r="B151" s="212" t="s">
        <v>465</v>
      </c>
      <c r="C151" s="213" t="s">
        <v>69</v>
      </c>
      <c r="D151" s="213" t="s">
        <v>69</v>
      </c>
      <c r="E151" s="216" t="s">
        <v>111</v>
      </c>
      <c r="F151" s="210"/>
      <c r="G151" s="214">
        <f>G152</f>
        <v>92.4</v>
      </c>
      <c r="H151" s="214">
        <f>H152</f>
        <v>92.4</v>
      </c>
      <c r="I151" s="214">
        <f t="shared" si="22"/>
        <v>0</v>
      </c>
      <c r="J151" s="214">
        <f t="shared" si="24"/>
        <v>100</v>
      </c>
      <c r="K151" s="7"/>
      <c r="L151" s="7"/>
      <c r="M151" s="7"/>
    </row>
    <row r="152" spans="1:13" s="5" customFormat="1" ht="24" customHeight="1">
      <c r="A152" s="215" t="s">
        <v>406</v>
      </c>
      <c r="B152" s="212" t="s">
        <v>465</v>
      </c>
      <c r="C152" s="213" t="s">
        <v>69</v>
      </c>
      <c r="D152" s="213" t="s">
        <v>69</v>
      </c>
      <c r="E152" s="216" t="s">
        <v>408</v>
      </c>
      <c r="F152" s="210"/>
      <c r="G152" s="214">
        <f>G153+G155</f>
        <v>92.4</v>
      </c>
      <c r="H152" s="214">
        <f>H153+H155</f>
        <v>92.4</v>
      </c>
      <c r="I152" s="214">
        <f t="shared" si="22"/>
        <v>0</v>
      </c>
      <c r="J152" s="214">
        <f t="shared" si="24"/>
        <v>100</v>
      </c>
      <c r="K152" s="7"/>
      <c r="L152" s="7"/>
      <c r="M152" s="7"/>
    </row>
    <row r="153" spans="1:13" s="5" customFormat="1" ht="12.75">
      <c r="A153" s="215" t="s">
        <v>573</v>
      </c>
      <c r="B153" s="212" t="s">
        <v>465</v>
      </c>
      <c r="C153" s="213" t="s">
        <v>69</v>
      </c>
      <c r="D153" s="213" t="s">
        <v>69</v>
      </c>
      <c r="E153" s="216" t="s">
        <v>409</v>
      </c>
      <c r="F153" s="210"/>
      <c r="G153" s="214">
        <f>G154</f>
        <v>70.9</v>
      </c>
      <c r="H153" s="214">
        <f>H154</f>
        <v>70.9</v>
      </c>
      <c r="I153" s="214">
        <f t="shared" si="22"/>
        <v>0</v>
      </c>
      <c r="J153" s="214">
        <f t="shared" si="24"/>
        <v>100</v>
      </c>
      <c r="K153" s="7"/>
      <c r="L153" s="7"/>
      <c r="M153" s="7"/>
    </row>
    <row r="154" spans="1:13" s="5" customFormat="1" ht="33.75">
      <c r="A154" s="211" t="s">
        <v>173</v>
      </c>
      <c r="B154" s="212" t="s">
        <v>465</v>
      </c>
      <c r="C154" s="213" t="s">
        <v>69</v>
      </c>
      <c r="D154" s="213" t="s">
        <v>69</v>
      </c>
      <c r="E154" s="216" t="s">
        <v>409</v>
      </c>
      <c r="F154" s="210">
        <v>726</v>
      </c>
      <c r="G154" s="214">
        <v>70.9</v>
      </c>
      <c r="H154" s="214">
        <v>70.9</v>
      </c>
      <c r="I154" s="214">
        <f t="shared" si="22"/>
        <v>0</v>
      </c>
      <c r="J154" s="214">
        <f t="shared" si="24"/>
        <v>100</v>
      </c>
      <c r="K154" s="7"/>
      <c r="L154" s="7"/>
      <c r="M154" s="7"/>
    </row>
    <row r="155" spans="1:13" s="5" customFormat="1" ht="35.25" customHeight="1">
      <c r="A155" s="215" t="s">
        <v>576</v>
      </c>
      <c r="B155" s="212" t="s">
        <v>465</v>
      </c>
      <c r="C155" s="213" t="s">
        <v>69</v>
      </c>
      <c r="D155" s="213" t="s">
        <v>69</v>
      </c>
      <c r="E155" s="216" t="s">
        <v>410</v>
      </c>
      <c r="F155" s="210"/>
      <c r="G155" s="214">
        <f>G156</f>
        <v>21.5</v>
      </c>
      <c r="H155" s="214">
        <f>H156</f>
        <v>21.5</v>
      </c>
      <c r="I155" s="214">
        <f t="shared" si="22"/>
        <v>0</v>
      </c>
      <c r="J155" s="214">
        <f t="shared" si="24"/>
        <v>100</v>
      </c>
      <c r="K155" s="7"/>
      <c r="L155" s="7"/>
      <c r="M155" s="7"/>
    </row>
    <row r="156" spans="1:13" s="5" customFormat="1" ht="33.75">
      <c r="A156" s="211" t="s">
        <v>173</v>
      </c>
      <c r="B156" s="212" t="s">
        <v>465</v>
      </c>
      <c r="C156" s="213" t="s">
        <v>69</v>
      </c>
      <c r="D156" s="213" t="s">
        <v>69</v>
      </c>
      <c r="E156" s="216" t="s">
        <v>410</v>
      </c>
      <c r="F156" s="210">
        <v>726</v>
      </c>
      <c r="G156" s="214">
        <v>21.5</v>
      </c>
      <c r="H156" s="214">
        <v>21.5</v>
      </c>
      <c r="I156" s="214">
        <f t="shared" si="22"/>
        <v>0</v>
      </c>
      <c r="J156" s="214">
        <f t="shared" si="24"/>
        <v>100</v>
      </c>
      <c r="K156" s="7"/>
      <c r="L156" s="7"/>
      <c r="M156" s="7"/>
    </row>
    <row r="157" spans="1:13" s="5" customFormat="1" ht="36" customHeight="1">
      <c r="A157" s="207" t="s">
        <v>363</v>
      </c>
      <c r="B157" s="202" t="s">
        <v>221</v>
      </c>
      <c r="C157" s="209"/>
      <c r="D157" s="209"/>
      <c r="E157" s="210"/>
      <c r="F157" s="210"/>
      <c r="G157" s="208">
        <f aca="true" t="shared" si="26" ref="G157:H160">G158</f>
        <v>385.7</v>
      </c>
      <c r="H157" s="208">
        <f t="shared" si="26"/>
        <v>385.7</v>
      </c>
      <c r="I157" s="208">
        <f t="shared" si="22"/>
        <v>0</v>
      </c>
      <c r="J157" s="208">
        <f t="shared" si="24"/>
        <v>100</v>
      </c>
      <c r="K157" s="180"/>
      <c r="L157" s="7"/>
      <c r="M157" s="7"/>
    </row>
    <row r="158" spans="1:13" s="5" customFormat="1" ht="31.5">
      <c r="A158" s="207" t="s">
        <v>293</v>
      </c>
      <c r="B158" s="202" t="s">
        <v>466</v>
      </c>
      <c r="C158" s="209"/>
      <c r="D158" s="209"/>
      <c r="E158" s="210"/>
      <c r="F158" s="210"/>
      <c r="G158" s="208">
        <f t="shared" si="26"/>
        <v>385.7</v>
      </c>
      <c r="H158" s="208">
        <f t="shared" si="26"/>
        <v>385.7</v>
      </c>
      <c r="I158" s="208">
        <f t="shared" si="22"/>
        <v>0</v>
      </c>
      <c r="J158" s="208">
        <f t="shared" si="24"/>
        <v>100</v>
      </c>
      <c r="K158" s="180"/>
      <c r="L158" s="7"/>
      <c r="M158" s="7"/>
    </row>
    <row r="159" spans="1:13" s="5" customFormat="1" ht="12.75">
      <c r="A159" s="207" t="s">
        <v>220</v>
      </c>
      <c r="B159" s="202" t="s">
        <v>467</v>
      </c>
      <c r="C159" s="209"/>
      <c r="D159" s="209"/>
      <c r="E159" s="210"/>
      <c r="F159" s="210"/>
      <c r="G159" s="208">
        <f t="shared" si="26"/>
        <v>385.7</v>
      </c>
      <c r="H159" s="208">
        <f t="shared" si="26"/>
        <v>385.7</v>
      </c>
      <c r="I159" s="208">
        <f t="shared" si="22"/>
        <v>0</v>
      </c>
      <c r="J159" s="208">
        <f t="shared" si="24"/>
        <v>100</v>
      </c>
      <c r="K159" s="180"/>
      <c r="L159" s="7"/>
      <c r="M159" s="7"/>
    </row>
    <row r="160" spans="1:13" s="5" customFormat="1" ht="12.75">
      <c r="A160" s="207" t="s">
        <v>8</v>
      </c>
      <c r="B160" s="202" t="s">
        <v>467</v>
      </c>
      <c r="C160" s="209" t="s">
        <v>69</v>
      </c>
      <c r="D160" s="209" t="s">
        <v>36</v>
      </c>
      <c r="E160" s="210"/>
      <c r="F160" s="210"/>
      <c r="G160" s="208">
        <f t="shared" si="26"/>
        <v>385.7</v>
      </c>
      <c r="H160" s="208">
        <f t="shared" si="26"/>
        <v>385.7</v>
      </c>
      <c r="I160" s="208">
        <f t="shared" si="22"/>
        <v>0</v>
      </c>
      <c r="J160" s="208">
        <f t="shared" si="24"/>
        <v>100</v>
      </c>
      <c r="K160" s="7"/>
      <c r="L160" s="7"/>
      <c r="M160" s="7"/>
    </row>
    <row r="161" spans="1:13" s="5" customFormat="1" ht="12.75">
      <c r="A161" s="228" t="s">
        <v>876</v>
      </c>
      <c r="B161" s="212" t="s">
        <v>467</v>
      </c>
      <c r="C161" s="213" t="s">
        <v>69</v>
      </c>
      <c r="D161" s="213" t="s">
        <v>69</v>
      </c>
      <c r="E161" s="210"/>
      <c r="F161" s="210"/>
      <c r="G161" s="214">
        <f>G162+G166</f>
        <v>385.7</v>
      </c>
      <c r="H161" s="214">
        <f>H162+H166</f>
        <v>385.7</v>
      </c>
      <c r="I161" s="214">
        <f t="shared" si="22"/>
        <v>0</v>
      </c>
      <c r="J161" s="214">
        <f t="shared" si="24"/>
        <v>100</v>
      </c>
      <c r="K161" s="7"/>
      <c r="L161" s="7"/>
      <c r="M161" s="7"/>
    </row>
    <row r="162" spans="1:13" s="5" customFormat="1" ht="22.5">
      <c r="A162" s="215" t="s">
        <v>770</v>
      </c>
      <c r="B162" s="212" t="s">
        <v>467</v>
      </c>
      <c r="C162" s="213" t="s">
        <v>69</v>
      </c>
      <c r="D162" s="213" t="s">
        <v>69</v>
      </c>
      <c r="E162" s="216" t="s">
        <v>113</v>
      </c>
      <c r="F162" s="210"/>
      <c r="G162" s="214">
        <f aca="true" t="shared" si="27" ref="G162:H164">G163</f>
        <v>300</v>
      </c>
      <c r="H162" s="214">
        <f t="shared" si="27"/>
        <v>300</v>
      </c>
      <c r="I162" s="214">
        <f t="shared" si="22"/>
        <v>0</v>
      </c>
      <c r="J162" s="214">
        <f t="shared" si="24"/>
        <v>100</v>
      </c>
      <c r="K162" s="7"/>
      <c r="L162" s="7"/>
      <c r="M162" s="7"/>
    </row>
    <row r="163" spans="1:13" s="5" customFormat="1" ht="24" customHeight="1">
      <c r="A163" s="229" t="s">
        <v>106</v>
      </c>
      <c r="B163" s="212" t="s">
        <v>467</v>
      </c>
      <c r="C163" s="213" t="s">
        <v>69</v>
      </c>
      <c r="D163" s="213" t="s">
        <v>69</v>
      </c>
      <c r="E163" s="216" t="s">
        <v>107</v>
      </c>
      <c r="F163" s="210"/>
      <c r="G163" s="214">
        <f t="shared" si="27"/>
        <v>300</v>
      </c>
      <c r="H163" s="214">
        <f t="shared" si="27"/>
        <v>300</v>
      </c>
      <c r="I163" s="214">
        <f t="shared" si="22"/>
        <v>0</v>
      </c>
      <c r="J163" s="214">
        <f t="shared" si="24"/>
        <v>100</v>
      </c>
      <c r="K163" s="7"/>
      <c r="L163" s="7"/>
      <c r="M163" s="7"/>
    </row>
    <row r="164" spans="1:13" s="5" customFormat="1" ht="33.75">
      <c r="A164" s="215" t="s">
        <v>108</v>
      </c>
      <c r="B164" s="212" t="s">
        <v>467</v>
      </c>
      <c r="C164" s="213" t="s">
        <v>69</v>
      </c>
      <c r="D164" s="213" t="s">
        <v>69</v>
      </c>
      <c r="E164" s="216" t="s">
        <v>109</v>
      </c>
      <c r="F164" s="210"/>
      <c r="G164" s="214">
        <f t="shared" si="27"/>
        <v>300</v>
      </c>
      <c r="H164" s="214">
        <f t="shared" si="27"/>
        <v>300</v>
      </c>
      <c r="I164" s="214">
        <f t="shared" si="22"/>
        <v>0</v>
      </c>
      <c r="J164" s="214">
        <f t="shared" si="24"/>
        <v>100</v>
      </c>
      <c r="K164" s="7"/>
      <c r="L164" s="7"/>
      <c r="M164" s="7"/>
    </row>
    <row r="165" spans="1:13" s="5" customFormat="1" ht="24" customHeight="1">
      <c r="A165" s="211" t="s">
        <v>173</v>
      </c>
      <c r="B165" s="212" t="s">
        <v>467</v>
      </c>
      <c r="C165" s="213" t="s">
        <v>69</v>
      </c>
      <c r="D165" s="213" t="s">
        <v>69</v>
      </c>
      <c r="E165" s="216" t="s">
        <v>109</v>
      </c>
      <c r="F165" s="210">
        <v>726</v>
      </c>
      <c r="G165" s="214">
        <v>300</v>
      </c>
      <c r="H165" s="214">
        <v>300</v>
      </c>
      <c r="I165" s="214">
        <f t="shared" si="22"/>
        <v>0</v>
      </c>
      <c r="J165" s="214">
        <f t="shared" si="24"/>
        <v>100</v>
      </c>
      <c r="K165" s="7"/>
      <c r="L165" s="7"/>
      <c r="M165" s="7"/>
    </row>
    <row r="166" spans="1:13" s="5" customFormat="1" ht="26.25" customHeight="1">
      <c r="A166" s="215" t="s">
        <v>114</v>
      </c>
      <c r="B166" s="212" t="s">
        <v>467</v>
      </c>
      <c r="C166" s="216" t="s">
        <v>69</v>
      </c>
      <c r="D166" s="216" t="s">
        <v>69</v>
      </c>
      <c r="E166" s="216" t="s">
        <v>115</v>
      </c>
      <c r="F166" s="210"/>
      <c r="G166" s="214">
        <f aca="true" t="shared" si="28" ref="G166:H168">G167</f>
        <v>85.7</v>
      </c>
      <c r="H166" s="214">
        <f t="shared" si="28"/>
        <v>85.7</v>
      </c>
      <c r="I166" s="214">
        <f t="shared" si="22"/>
        <v>0</v>
      </c>
      <c r="J166" s="214">
        <f t="shared" si="24"/>
        <v>100</v>
      </c>
      <c r="K166" s="7"/>
      <c r="L166" s="7"/>
      <c r="M166" s="7"/>
    </row>
    <row r="167" spans="1:13" s="5" customFormat="1" ht="12.75">
      <c r="A167" s="215" t="s">
        <v>120</v>
      </c>
      <c r="B167" s="212" t="s">
        <v>467</v>
      </c>
      <c r="C167" s="213" t="s">
        <v>69</v>
      </c>
      <c r="D167" s="213" t="s">
        <v>69</v>
      </c>
      <c r="E167" s="216" t="s">
        <v>121</v>
      </c>
      <c r="F167" s="210"/>
      <c r="G167" s="214">
        <f t="shared" si="28"/>
        <v>85.7</v>
      </c>
      <c r="H167" s="214">
        <f t="shared" si="28"/>
        <v>85.7</v>
      </c>
      <c r="I167" s="214">
        <f t="shared" si="22"/>
        <v>0</v>
      </c>
      <c r="J167" s="214">
        <f t="shared" si="24"/>
        <v>100</v>
      </c>
      <c r="K167" s="7"/>
      <c r="L167" s="7"/>
      <c r="M167" s="7"/>
    </row>
    <row r="168" spans="1:13" s="5" customFormat="1" ht="12.75">
      <c r="A168" s="215" t="s">
        <v>124</v>
      </c>
      <c r="B168" s="212" t="s">
        <v>467</v>
      </c>
      <c r="C168" s="216" t="s">
        <v>69</v>
      </c>
      <c r="D168" s="216" t="s">
        <v>69</v>
      </c>
      <c r="E168" s="216" t="s">
        <v>125</v>
      </c>
      <c r="F168" s="210"/>
      <c r="G168" s="214">
        <f t="shared" si="28"/>
        <v>85.7</v>
      </c>
      <c r="H168" s="214">
        <f t="shared" si="28"/>
        <v>85.7</v>
      </c>
      <c r="I168" s="214">
        <f t="shared" si="22"/>
        <v>0</v>
      </c>
      <c r="J168" s="214">
        <f t="shared" si="24"/>
        <v>100</v>
      </c>
      <c r="K168" s="7"/>
      <c r="L168" s="7"/>
      <c r="M168" s="7"/>
    </row>
    <row r="169" spans="1:13" s="5" customFormat="1" ht="22.5">
      <c r="A169" s="215" t="s">
        <v>172</v>
      </c>
      <c r="B169" s="212" t="s">
        <v>467</v>
      </c>
      <c r="C169" s="216" t="s">
        <v>69</v>
      </c>
      <c r="D169" s="216" t="s">
        <v>69</v>
      </c>
      <c r="E169" s="216" t="s">
        <v>125</v>
      </c>
      <c r="F169" s="210">
        <v>725</v>
      </c>
      <c r="G169" s="214">
        <v>85.7</v>
      </c>
      <c r="H169" s="214">
        <v>85.7</v>
      </c>
      <c r="I169" s="214">
        <f t="shared" si="22"/>
        <v>0</v>
      </c>
      <c r="J169" s="214">
        <f t="shared" si="24"/>
        <v>100</v>
      </c>
      <c r="K169" s="7"/>
      <c r="L169" s="7"/>
      <c r="M169" s="7"/>
    </row>
    <row r="170" spans="1:13" s="5" customFormat="1" ht="31.5">
      <c r="A170" s="207" t="s">
        <v>365</v>
      </c>
      <c r="B170" s="202" t="s">
        <v>227</v>
      </c>
      <c r="C170" s="209"/>
      <c r="D170" s="209"/>
      <c r="E170" s="210"/>
      <c r="F170" s="210"/>
      <c r="G170" s="208">
        <f>G171+G179</f>
        <v>961.4</v>
      </c>
      <c r="H170" s="208">
        <f>H171+H179</f>
        <v>285.4</v>
      </c>
      <c r="I170" s="208">
        <f t="shared" si="22"/>
        <v>676</v>
      </c>
      <c r="J170" s="208">
        <f t="shared" si="24"/>
        <v>29.685874765966297</v>
      </c>
      <c r="K170" s="180"/>
      <c r="L170" s="7"/>
      <c r="M170" s="7"/>
    </row>
    <row r="171" spans="1:13" s="5" customFormat="1" ht="16.5" customHeight="1">
      <c r="A171" s="207" t="s">
        <v>297</v>
      </c>
      <c r="B171" s="202" t="s">
        <v>481</v>
      </c>
      <c r="C171" s="209"/>
      <c r="D171" s="209"/>
      <c r="E171" s="210"/>
      <c r="F171" s="210"/>
      <c r="G171" s="208">
        <f>G172</f>
        <v>50</v>
      </c>
      <c r="H171" s="208">
        <f>H172</f>
        <v>50</v>
      </c>
      <c r="I171" s="208">
        <f t="shared" si="22"/>
        <v>0</v>
      </c>
      <c r="J171" s="208">
        <f t="shared" si="24"/>
        <v>100</v>
      </c>
      <c r="K171" s="180"/>
      <c r="L171" s="7"/>
      <c r="M171" s="7"/>
    </row>
    <row r="172" spans="1:13" s="5" customFormat="1" ht="12.75">
      <c r="A172" s="207" t="s">
        <v>204</v>
      </c>
      <c r="B172" s="202" t="s">
        <v>482</v>
      </c>
      <c r="C172" s="209"/>
      <c r="D172" s="209"/>
      <c r="E172" s="210"/>
      <c r="F172" s="210"/>
      <c r="G172" s="208">
        <f aca="true" t="shared" si="29" ref="G172:H177">G173</f>
        <v>50</v>
      </c>
      <c r="H172" s="208">
        <f t="shared" si="29"/>
        <v>50</v>
      </c>
      <c r="I172" s="208">
        <f t="shared" si="22"/>
        <v>0</v>
      </c>
      <c r="J172" s="208">
        <f t="shared" si="24"/>
        <v>100</v>
      </c>
      <c r="K172" s="180"/>
      <c r="L172" s="7"/>
      <c r="M172" s="7"/>
    </row>
    <row r="173" spans="1:13" s="5" customFormat="1" ht="12.75">
      <c r="A173" s="207" t="s">
        <v>8</v>
      </c>
      <c r="B173" s="202" t="s">
        <v>482</v>
      </c>
      <c r="C173" s="209" t="s">
        <v>69</v>
      </c>
      <c r="D173" s="209" t="s">
        <v>36</v>
      </c>
      <c r="E173" s="210"/>
      <c r="F173" s="210"/>
      <c r="G173" s="208">
        <f t="shared" si="29"/>
        <v>50</v>
      </c>
      <c r="H173" s="208">
        <f t="shared" si="29"/>
        <v>50</v>
      </c>
      <c r="I173" s="208">
        <f t="shared" si="22"/>
        <v>0</v>
      </c>
      <c r="J173" s="208">
        <f t="shared" si="24"/>
        <v>100</v>
      </c>
      <c r="K173" s="180"/>
      <c r="L173" s="7"/>
      <c r="M173" s="7"/>
    </row>
    <row r="174" spans="1:13" s="5" customFormat="1" ht="14.25" customHeight="1">
      <c r="A174" s="228" t="s">
        <v>876</v>
      </c>
      <c r="B174" s="212" t="s">
        <v>482</v>
      </c>
      <c r="C174" s="213" t="s">
        <v>69</v>
      </c>
      <c r="D174" s="213" t="s">
        <v>69</v>
      </c>
      <c r="E174" s="210"/>
      <c r="F174" s="210"/>
      <c r="G174" s="208">
        <f t="shared" si="29"/>
        <v>50</v>
      </c>
      <c r="H174" s="208">
        <f t="shared" si="29"/>
        <v>50</v>
      </c>
      <c r="I174" s="208">
        <f t="shared" si="22"/>
        <v>0</v>
      </c>
      <c r="J174" s="208">
        <f t="shared" si="24"/>
        <v>100</v>
      </c>
      <c r="K174" s="180"/>
      <c r="L174" s="7"/>
      <c r="M174" s="7"/>
    </row>
    <row r="175" spans="1:13" s="5" customFormat="1" ht="22.5">
      <c r="A175" s="215" t="s">
        <v>770</v>
      </c>
      <c r="B175" s="212" t="s">
        <v>482</v>
      </c>
      <c r="C175" s="213" t="s">
        <v>69</v>
      </c>
      <c r="D175" s="213" t="s">
        <v>69</v>
      </c>
      <c r="E175" s="216" t="s">
        <v>113</v>
      </c>
      <c r="F175" s="210"/>
      <c r="G175" s="214">
        <f t="shared" si="29"/>
        <v>50</v>
      </c>
      <c r="H175" s="214">
        <f t="shared" si="29"/>
        <v>50</v>
      </c>
      <c r="I175" s="214">
        <f t="shared" si="22"/>
        <v>0</v>
      </c>
      <c r="J175" s="214">
        <f t="shared" si="24"/>
        <v>100</v>
      </c>
      <c r="K175" s="180"/>
      <c r="L175" s="7"/>
      <c r="M175" s="7"/>
    </row>
    <row r="176" spans="1:13" s="5" customFormat="1" ht="36.75" customHeight="1">
      <c r="A176" s="215" t="s">
        <v>106</v>
      </c>
      <c r="B176" s="212" t="s">
        <v>482</v>
      </c>
      <c r="C176" s="213" t="s">
        <v>69</v>
      </c>
      <c r="D176" s="213" t="s">
        <v>69</v>
      </c>
      <c r="E176" s="216" t="s">
        <v>107</v>
      </c>
      <c r="F176" s="210"/>
      <c r="G176" s="214">
        <f t="shared" si="29"/>
        <v>50</v>
      </c>
      <c r="H176" s="214">
        <f t="shared" si="29"/>
        <v>50</v>
      </c>
      <c r="I176" s="214">
        <f t="shared" si="22"/>
        <v>0</v>
      </c>
      <c r="J176" s="214">
        <f t="shared" si="24"/>
        <v>100</v>
      </c>
      <c r="K176" s="180"/>
      <c r="L176" s="7"/>
      <c r="M176" s="7"/>
    </row>
    <row r="177" spans="1:13" s="5" customFormat="1" ht="36" customHeight="1">
      <c r="A177" s="215" t="s">
        <v>108</v>
      </c>
      <c r="B177" s="212" t="s">
        <v>482</v>
      </c>
      <c r="C177" s="213" t="s">
        <v>69</v>
      </c>
      <c r="D177" s="213" t="s">
        <v>69</v>
      </c>
      <c r="E177" s="216" t="s">
        <v>109</v>
      </c>
      <c r="F177" s="210"/>
      <c r="G177" s="214">
        <f t="shared" si="29"/>
        <v>50</v>
      </c>
      <c r="H177" s="214">
        <f t="shared" si="29"/>
        <v>50</v>
      </c>
      <c r="I177" s="214">
        <f t="shared" si="22"/>
        <v>0</v>
      </c>
      <c r="J177" s="214">
        <f t="shared" si="24"/>
        <v>100</v>
      </c>
      <c r="K177" s="180"/>
      <c r="L177" s="7"/>
      <c r="M177" s="7"/>
    </row>
    <row r="178" spans="1:13" s="5" customFormat="1" ht="24.75" customHeight="1">
      <c r="A178" s="211" t="s">
        <v>173</v>
      </c>
      <c r="B178" s="212" t="s">
        <v>482</v>
      </c>
      <c r="C178" s="213" t="s">
        <v>69</v>
      </c>
      <c r="D178" s="213" t="s">
        <v>69</v>
      </c>
      <c r="E178" s="216" t="s">
        <v>109</v>
      </c>
      <c r="F178" s="210">
        <v>726</v>
      </c>
      <c r="G178" s="214">
        <f>100-50</f>
        <v>50</v>
      </c>
      <c r="H178" s="214">
        <v>50</v>
      </c>
      <c r="I178" s="214">
        <f t="shared" si="22"/>
        <v>0</v>
      </c>
      <c r="J178" s="214">
        <f t="shared" si="24"/>
        <v>100</v>
      </c>
      <c r="K178" s="180"/>
      <c r="L178" s="7"/>
      <c r="M178" s="7"/>
    </row>
    <row r="179" spans="1:13" s="5" customFormat="1" ht="21">
      <c r="A179" s="207" t="s">
        <v>298</v>
      </c>
      <c r="B179" s="202" t="s">
        <v>483</v>
      </c>
      <c r="C179" s="209"/>
      <c r="D179" s="209"/>
      <c r="E179" s="210"/>
      <c r="F179" s="210"/>
      <c r="G179" s="208">
        <f>G180+G187+G200+G207+G214+G221</f>
        <v>911.4</v>
      </c>
      <c r="H179" s="208">
        <f>H180+H187+H200+H207+H214+H221</f>
        <v>235.4</v>
      </c>
      <c r="I179" s="208">
        <f t="shared" si="22"/>
        <v>676</v>
      </c>
      <c r="J179" s="208">
        <f t="shared" si="24"/>
        <v>25.828395874478826</v>
      </c>
      <c r="K179" s="180"/>
      <c r="L179" s="7"/>
      <c r="M179" s="7"/>
    </row>
    <row r="180" spans="1:13" s="5" customFormat="1" ht="13.5" customHeight="1">
      <c r="A180" s="207" t="s">
        <v>228</v>
      </c>
      <c r="B180" s="202" t="s">
        <v>484</v>
      </c>
      <c r="C180" s="209"/>
      <c r="D180" s="209"/>
      <c r="E180" s="210"/>
      <c r="F180" s="210"/>
      <c r="G180" s="208">
        <f aca="true" t="shared" si="30" ref="G180:H185">G181</f>
        <v>95</v>
      </c>
      <c r="H180" s="208">
        <f t="shared" si="30"/>
        <v>91.7</v>
      </c>
      <c r="I180" s="208">
        <f t="shared" si="22"/>
        <v>3.299999999999997</v>
      </c>
      <c r="J180" s="208">
        <f t="shared" si="24"/>
        <v>96.52631578947368</v>
      </c>
      <c r="K180" s="180"/>
      <c r="L180" s="7"/>
      <c r="M180" s="7"/>
    </row>
    <row r="181" spans="1:13" s="5" customFormat="1" ht="12.75">
      <c r="A181" s="207" t="s">
        <v>8</v>
      </c>
      <c r="B181" s="202" t="s">
        <v>484</v>
      </c>
      <c r="C181" s="209" t="s">
        <v>69</v>
      </c>
      <c r="D181" s="209" t="s">
        <v>36</v>
      </c>
      <c r="E181" s="210"/>
      <c r="F181" s="210"/>
      <c r="G181" s="208">
        <f t="shared" si="30"/>
        <v>95</v>
      </c>
      <c r="H181" s="208">
        <f t="shared" si="30"/>
        <v>91.7</v>
      </c>
      <c r="I181" s="208">
        <f t="shared" si="22"/>
        <v>3.299999999999997</v>
      </c>
      <c r="J181" s="208">
        <f t="shared" si="24"/>
        <v>96.52631578947368</v>
      </c>
      <c r="K181" s="180"/>
      <c r="L181" s="7"/>
      <c r="M181" s="7"/>
    </row>
    <row r="182" spans="1:13" s="5" customFormat="1" ht="12.75">
      <c r="A182" s="228" t="s">
        <v>876</v>
      </c>
      <c r="B182" s="212" t="s">
        <v>484</v>
      </c>
      <c r="C182" s="213" t="s">
        <v>69</v>
      </c>
      <c r="D182" s="213" t="s">
        <v>69</v>
      </c>
      <c r="E182" s="210"/>
      <c r="F182" s="210"/>
      <c r="G182" s="208">
        <f t="shared" si="30"/>
        <v>95</v>
      </c>
      <c r="H182" s="208">
        <f t="shared" si="30"/>
        <v>91.7</v>
      </c>
      <c r="I182" s="208">
        <f t="shared" si="22"/>
        <v>3.299999999999997</v>
      </c>
      <c r="J182" s="208">
        <f t="shared" si="24"/>
        <v>96.52631578947368</v>
      </c>
      <c r="K182" s="180"/>
      <c r="L182" s="7"/>
      <c r="M182" s="7"/>
    </row>
    <row r="183" spans="1:13" s="5" customFormat="1" ht="24" customHeight="1">
      <c r="A183" s="215" t="s">
        <v>770</v>
      </c>
      <c r="B183" s="212" t="s">
        <v>484</v>
      </c>
      <c r="C183" s="213" t="s">
        <v>69</v>
      </c>
      <c r="D183" s="213" t="s">
        <v>69</v>
      </c>
      <c r="E183" s="216" t="s">
        <v>113</v>
      </c>
      <c r="F183" s="210"/>
      <c r="G183" s="214">
        <f t="shared" si="30"/>
        <v>95</v>
      </c>
      <c r="H183" s="214">
        <f t="shared" si="30"/>
        <v>91.7</v>
      </c>
      <c r="I183" s="214">
        <f t="shared" si="22"/>
        <v>3.299999999999997</v>
      </c>
      <c r="J183" s="214">
        <f t="shared" si="24"/>
        <v>96.52631578947368</v>
      </c>
      <c r="K183" s="180"/>
      <c r="L183" s="7"/>
      <c r="M183" s="7"/>
    </row>
    <row r="184" spans="1:13" s="5" customFormat="1" ht="34.5" customHeight="1">
      <c r="A184" s="215" t="s">
        <v>106</v>
      </c>
      <c r="B184" s="212" t="s">
        <v>484</v>
      </c>
      <c r="C184" s="213" t="s">
        <v>69</v>
      </c>
      <c r="D184" s="213" t="s">
        <v>69</v>
      </c>
      <c r="E184" s="216" t="s">
        <v>107</v>
      </c>
      <c r="F184" s="210"/>
      <c r="G184" s="214">
        <f t="shared" si="30"/>
        <v>95</v>
      </c>
      <c r="H184" s="214">
        <f t="shared" si="30"/>
        <v>91.7</v>
      </c>
      <c r="I184" s="214">
        <f t="shared" si="22"/>
        <v>3.299999999999997</v>
      </c>
      <c r="J184" s="214">
        <f t="shared" si="24"/>
        <v>96.52631578947368</v>
      </c>
      <c r="K184" s="180"/>
      <c r="L184" s="7"/>
      <c r="M184" s="7"/>
    </row>
    <row r="185" spans="1:13" s="5" customFormat="1" ht="24" customHeight="1">
      <c r="A185" s="215" t="s">
        <v>108</v>
      </c>
      <c r="B185" s="212" t="s">
        <v>484</v>
      </c>
      <c r="C185" s="213" t="s">
        <v>69</v>
      </c>
      <c r="D185" s="213" t="s">
        <v>69</v>
      </c>
      <c r="E185" s="216" t="s">
        <v>109</v>
      </c>
      <c r="F185" s="210"/>
      <c r="G185" s="214">
        <f t="shared" si="30"/>
        <v>95</v>
      </c>
      <c r="H185" s="214">
        <f t="shared" si="30"/>
        <v>91.7</v>
      </c>
      <c r="I185" s="214">
        <f t="shared" si="22"/>
        <v>3.299999999999997</v>
      </c>
      <c r="J185" s="214">
        <f t="shared" si="24"/>
        <v>96.52631578947368</v>
      </c>
      <c r="K185" s="180"/>
      <c r="L185" s="7"/>
      <c r="M185" s="7"/>
    </row>
    <row r="186" spans="1:13" s="5" customFormat="1" ht="33.75">
      <c r="A186" s="211" t="s">
        <v>173</v>
      </c>
      <c r="B186" s="212" t="s">
        <v>484</v>
      </c>
      <c r="C186" s="213" t="s">
        <v>69</v>
      </c>
      <c r="D186" s="213" t="s">
        <v>69</v>
      </c>
      <c r="E186" s="216" t="s">
        <v>109</v>
      </c>
      <c r="F186" s="210">
        <v>726</v>
      </c>
      <c r="G186" s="214">
        <f>60+35</f>
        <v>95</v>
      </c>
      <c r="H186" s="214">
        <v>91.7</v>
      </c>
      <c r="I186" s="214">
        <f t="shared" si="22"/>
        <v>3.299999999999997</v>
      </c>
      <c r="J186" s="214">
        <f t="shared" si="24"/>
        <v>96.52631578947368</v>
      </c>
      <c r="K186" s="180"/>
      <c r="L186" s="7"/>
      <c r="M186" s="7"/>
    </row>
    <row r="187" spans="1:13" s="5" customFormat="1" ht="21">
      <c r="A187" s="207" t="s">
        <v>229</v>
      </c>
      <c r="B187" s="202" t="s">
        <v>485</v>
      </c>
      <c r="C187" s="209"/>
      <c r="D187" s="209"/>
      <c r="E187" s="217"/>
      <c r="F187" s="201"/>
      <c r="G187" s="208">
        <f>G188</f>
        <v>90</v>
      </c>
      <c r="H187" s="208">
        <f>H188</f>
        <v>88.7</v>
      </c>
      <c r="I187" s="208">
        <f t="shared" si="22"/>
        <v>1.2999999999999972</v>
      </c>
      <c r="J187" s="208">
        <f t="shared" si="24"/>
        <v>98.55555555555556</v>
      </c>
      <c r="K187" s="180"/>
      <c r="L187" s="7"/>
      <c r="M187" s="7"/>
    </row>
    <row r="188" spans="1:13" s="5" customFormat="1" ht="12.75">
      <c r="A188" s="207" t="s">
        <v>8</v>
      </c>
      <c r="B188" s="202" t="s">
        <v>485</v>
      </c>
      <c r="C188" s="209" t="s">
        <v>69</v>
      </c>
      <c r="D188" s="209" t="s">
        <v>36</v>
      </c>
      <c r="E188" s="210"/>
      <c r="F188" s="210"/>
      <c r="G188" s="208">
        <f>G189</f>
        <v>90</v>
      </c>
      <c r="H188" s="208">
        <f>H189</f>
        <v>88.7</v>
      </c>
      <c r="I188" s="208">
        <f t="shared" si="22"/>
        <v>1.2999999999999972</v>
      </c>
      <c r="J188" s="208">
        <f t="shared" si="24"/>
        <v>98.55555555555556</v>
      </c>
      <c r="K188" s="7"/>
      <c r="L188" s="7"/>
      <c r="M188" s="7"/>
    </row>
    <row r="189" spans="1:13" s="5" customFormat="1" ht="12.75">
      <c r="A189" s="228" t="s">
        <v>876</v>
      </c>
      <c r="B189" s="212" t="s">
        <v>485</v>
      </c>
      <c r="C189" s="213" t="s">
        <v>69</v>
      </c>
      <c r="D189" s="213" t="s">
        <v>69</v>
      </c>
      <c r="E189" s="210"/>
      <c r="F189" s="210"/>
      <c r="G189" s="214">
        <f>G196+G190</f>
        <v>90</v>
      </c>
      <c r="H189" s="214">
        <f>H196+H190</f>
        <v>88.7</v>
      </c>
      <c r="I189" s="214">
        <f t="shared" si="22"/>
        <v>1.2999999999999972</v>
      </c>
      <c r="J189" s="214">
        <f t="shared" si="24"/>
        <v>98.55555555555556</v>
      </c>
      <c r="K189" s="7"/>
      <c r="L189" s="7"/>
      <c r="M189" s="7"/>
    </row>
    <row r="190" spans="1:13" s="5" customFormat="1" ht="57.75" customHeight="1">
      <c r="A190" s="211" t="s">
        <v>110</v>
      </c>
      <c r="B190" s="212" t="s">
        <v>485</v>
      </c>
      <c r="C190" s="216" t="s">
        <v>69</v>
      </c>
      <c r="D190" s="216" t="s">
        <v>69</v>
      </c>
      <c r="E190" s="216" t="s">
        <v>111</v>
      </c>
      <c r="F190" s="210"/>
      <c r="G190" s="214">
        <f>G191</f>
        <v>76</v>
      </c>
      <c r="H190" s="214">
        <f>H191</f>
        <v>74.7</v>
      </c>
      <c r="I190" s="214">
        <f t="shared" si="22"/>
        <v>1.2999999999999972</v>
      </c>
      <c r="J190" s="214">
        <f t="shared" si="24"/>
        <v>98.28947368421052</v>
      </c>
      <c r="K190" s="7"/>
      <c r="L190" s="7"/>
      <c r="M190" s="7"/>
    </row>
    <row r="191" spans="1:13" s="5" customFormat="1" ht="23.25" customHeight="1">
      <c r="A191" s="215" t="s">
        <v>406</v>
      </c>
      <c r="B191" s="212" t="s">
        <v>485</v>
      </c>
      <c r="C191" s="216" t="s">
        <v>69</v>
      </c>
      <c r="D191" s="216" t="s">
        <v>69</v>
      </c>
      <c r="E191" s="216" t="s">
        <v>408</v>
      </c>
      <c r="F191" s="210"/>
      <c r="G191" s="214">
        <f>G192+G194</f>
        <v>76</v>
      </c>
      <c r="H191" s="214">
        <f>H192+H194</f>
        <v>74.7</v>
      </c>
      <c r="I191" s="214">
        <f t="shared" si="22"/>
        <v>1.2999999999999972</v>
      </c>
      <c r="J191" s="214">
        <f t="shared" si="24"/>
        <v>98.28947368421052</v>
      </c>
      <c r="K191" s="7"/>
      <c r="L191" s="7"/>
      <c r="M191" s="7"/>
    </row>
    <row r="192" spans="1:13" s="5" customFormat="1" ht="22.5">
      <c r="A192" s="215" t="s">
        <v>574</v>
      </c>
      <c r="B192" s="212" t="s">
        <v>485</v>
      </c>
      <c r="C192" s="216" t="s">
        <v>69</v>
      </c>
      <c r="D192" s="216" t="s">
        <v>69</v>
      </c>
      <c r="E192" s="216" t="s">
        <v>407</v>
      </c>
      <c r="F192" s="210"/>
      <c r="G192" s="214">
        <f>G193</f>
        <v>35</v>
      </c>
      <c r="H192" s="214">
        <f>H193</f>
        <v>33.7</v>
      </c>
      <c r="I192" s="214">
        <f t="shared" si="22"/>
        <v>1.2999999999999972</v>
      </c>
      <c r="J192" s="214">
        <f t="shared" si="24"/>
        <v>96.28571428571429</v>
      </c>
      <c r="K192" s="7"/>
      <c r="L192" s="7"/>
      <c r="M192" s="7"/>
    </row>
    <row r="193" spans="1:13" s="5" customFormat="1" ht="24.75" customHeight="1">
      <c r="A193" s="211" t="s">
        <v>173</v>
      </c>
      <c r="B193" s="212" t="s">
        <v>485</v>
      </c>
      <c r="C193" s="216" t="s">
        <v>69</v>
      </c>
      <c r="D193" s="216" t="s">
        <v>69</v>
      </c>
      <c r="E193" s="216" t="s">
        <v>407</v>
      </c>
      <c r="F193" s="210">
        <v>726</v>
      </c>
      <c r="G193" s="214">
        <v>35</v>
      </c>
      <c r="H193" s="214">
        <v>33.7</v>
      </c>
      <c r="I193" s="214">
        <f t="shared" si="22"/>
        <v>1.2999999999999972</v>
      </c>
      <c r="J193" s="214">
        <f t="shared" si="24"/>
        <v>96.28571428571429</v>
      </c>
      <c r="K193" s="7"/>
      <c r="L193" s="7"/>
      <c r="M193" s="7"/>
    </row>
    <row r="194" spans="1:13" s="5" customFormat="1" ht="45">
      <c r="A194" s="221" t="s">
        <v>753</v>
      </c>
      <c r="B194" s="212" t="s">
        <v>485</v>
      </c>
      <c r="C194" s="216" t="s">
        <v>69</v>
      </c>
      <c r="D194" s="216" t="s">
        <v>69</v>
      </c>
      <c r="E194" s="216" t="s">
        <v>754</v>
      </c>
      <c r="F194" s="210"/>
      <c r="G194" s="214">
        <f>G195</f>
        <v>41</v>
      </c>
      <c r="H194" s="214">
        <f>H195</f>
        <v>41</v>
      </c>
      <c r="I194" s="214">
        <f t="shared" si="22"/>
        <v>0</v>
      </c>
      <c r="J194" s="214">
        <f t="shared" si="24"/>
        <v>100</v>
      </c>
      <c r="K194" s="7"/>
      <c r="L194" s="7"/>
      <c r="M194" s="7"/>
    </row>
    <row r="195" spans="1:13" s="5" customFormat="1" ht="23.25" customHeight="1">
      <c r="A195" s="211" t="s">
        <v>173</v>
      </c>
      <c r="B195" s="212" t="s">
        <v>485</v>
      </c>
      <c r="C195" s="216" t="s">
        <v>69</v>
      </c>
      <c r="D195" s="216" t="s">
        <v>69</v>
      </c>
      <c r="E195" s="216" t="s">
        <v>754</v>
      </c>
      <c r="F195" s="210">
        <v>726</v>
      </c>
      <c r="G195" s="214">
        <f>31+10</f>
        <v>41</v>
      </c>
      <c r="H195" s="214">
        <v>41</v>
      </c>
      <c r="I195" s="214">
        <f t="shared" si="22"/>
        <v>0</v>
      </c>
      <c r="J195" s="214">
        <f t="shared" si="24"/>
        <v>100</v>
      </c>
      <c r="K195" s="7"/>
      <c r="L195" s="7"/>
      <c r="M195" s="7"/>
    </row>
    <row r="196" spans="1:13" s="5" customFormat="1" ht="22.5">
      <c r="A196" s="215" t="s">
        <v>770</v>
      </c>
      <c r="B196" s="212" t="s">
        <v>485</v>
      </c>
      <c r="C196" s="213" t="s">
        <v>69</v>
      </c>
      <c r="D196" s="213" t="s">
        <v>69</v>
      </c>
      <c r="E196" s="216" t="s">
        <v>113</v>
      </c>
      <c r="F196" s="210"/>
      <c r="G196" s="214">
        <f aca="true" t="shared" si="31" ref="G196:H198">G197</f>
        <v>14</v>
      </c>
      <c r="H196" s="214">
        <f t="shared" si="31"/>
        <v>14</v>
      </c>
      <c r="I196" s="214">
        <f t="shared" si="22"/>
        <v>0</v>
      </c>
      <c r="J196" s="214">
        <f t="shared" si="24"/>
        <v>100</v>
      </c>
      <c r="K196" s="7"/>
      <c r="L196" s="7"/>
      <c r="M196" s="7"/>
    </row>
    <row r="197" spans="1:13" s="5" customFormat="1" ht="26.25" customHeight="1">
      <c r="A197" s="215" t="s">
        <v>106</v>
      </c>
      <c r="B197" s="212" t="s">
        <v>485</v>
      </c>
      <c r="C197" s="213" t="s">
        <v>69</v>
      </c>
      <c r="D197" s="213" t="s">
        <v>69</v>
      </c>
      <c r="E197" s="216" t="s">
        <v>107</v>
      </c>
      <c r="F197" s="210"/>
      <c r="G197" s="214">
        <f t="shared" si="31"/>
        <v>14</v>
      </c>
      <c r="H197" s="214">
        <f t="shared" si="31"/>
        <v>14</v>
      </c>
      <c r="I197" s="214">
        <f t="shared" si="22"/>
        <v>0</v>
      </c>
      <c r="J197" s="214">
        <f t="shared" si="24"/>
        <v>100</v>
      </c>
      <c r="K197" s="7"/>
      <c r="L197" s="7"/>
      <c r="M197" s="7"/>
    </row>
    <row r="198" spans="1:13" s="5" customFormat="1" ht="24" customHeight="1">
      <c r="A198" s="215" t="s">
        <v>108</v>
      </c>
      <c r="B198" s="212" t="s">
        <v>485</v>
      </c>
      <c r="C198" s="213" t="s">
        <v>69</v>
      </c>
      <c r="D198" s="213" t="s">
        <v>69</v>
      </c>
      <c r="E198" s="216" t="s">
        <v>109</v>
      </c>
      <c r="F198" s="210"/>
      <c r="G198" s="214">
        <f t="shared" si="31"/>
        <v>14</v>
      </c>
      <c r="H198" s="214">
        <f t="shared" si="31"/>
        <v>14</v>
      </c>
      <c r="I198" s="214">
        <f t="shared" si="22"/>
        <v>0</v>
      </c>
      <c r="J198" s="214">
        <f t="shared" si="24"/>
        <v>100</v>
      </c>
      <c r="K198" s="7"/>
      <c r="L198" s="7"/>
      <c r="M198" s="7"/>
    </row>
    <row r="199" spans="1:13" s="5" customFormat="1" ht="24.75" customHeight="1">
      <c r="A199" s="211" t="s">
        <v>173</v>
      </c>
      <c r="B199" s="212" t="s">
        <v>485</v>
      </c>
      <c r="C199" s="213" t="s">
        <v>69</v>
      </c>
      <c r="D199" s="213" t="s">
        <v>69</v>
      </c>
      <c r="E199" s="216" t="s">
        <v>109</v>
      </c>
      <c r="F199" s="210">
        <v>726</v>
      </c>
      <c r="G199" s="214">
        <f>30+35-10-31-10</f>
        <v>14</v>
      </c>
      <c r="H199" s="214">
        <v>14</v>
      </c>
      <c r="I199" s="214">
        <f t="shared" si="22"/>
        <v>0</v>
      </c>
      <c r="J199" s="214">
        <f t="shared" si="24"/>
        <v>100</v>
      </c>
      <c r="K199" s="7"/>
      <c r="L199" s="7"/>
      <c r="M199" s="7"/>
    </row>
    <row r="200" spans="1:13" s="5" customFormat="1" ht="12.75">
      <c r="A200" s="207" t="s">
        <v>230</v>
      </c>
      <c r="B200" s="202" t="s">
        <v>486</v>
      </c>
      <c r="C200" s="209"/>
      <c r="D200" s="209"/>
      <c r="E200" s="217"/>
      <c r="F200" s="201"/>
      <c r="G200" s="208">
        <f aca="true" t="shared" si="32" ref="G200:H205">G201</f>
        <v>35</v>
      </c>
      <c r="H200" s="208">
        <f t="shared" si="32"/>
        <v>35</v>
      </c>
      <c r="I200" s="208">
        <f t="shared" si="22"/>
        <v>0</v>
      </c>
      <c r="J200" s="208">
        <f t="shared" si="24"/>
        <v>100</v>
      </c>
      <c r="K200" s="7"/>
      <c r="L200" s="7"/>
      <c r="M200" s="7"/>
    </row>
    <row r="201" spans="1:13" s="5" customFormat="1" ht="12.75">
      <c r="A201" s="207" t="s">
        <v>8</v>
      </c>
      <c r="B201" s="202" t="s">
        <v>486</v>
      </c>
      <c r="C201" s="209" t="s">
        <v>69</v>
      </c>
      <c r="D201" s="209" t="s">
        <v>36</v>
      </c>
      <c r="E201" s="216"/>
      <c r="F201" s="210"/>
      <c r="G201" s="208">
        <f t="shared" si="32"/>
        <v>35</v>
      </c>
      <c r="H201" s="208">
        <f t="shared" si="32"/>
        <v>35</v>
      </c>
      <c r="I201" s="208">
        <f aca="true" t="shared" si="33" ref="I201:I264">G201-H201</f>
        <v>0</v>
      </c>
      <c r="J201" s="208">
        <f t="shared" si="24"/>
        <v>100</v>
      </c>
      <c r="K201" s="7"/>
      <c r="L201" s="7"/>
      <c r="M201" s="7"/>
    </row>
    <row r="202" spans="1:13" s="5" customFormat="1" ht="12.75">
      <c r="A202" s="228" t="s">
        <v>876</v>
      </c>
      <c r="B202" s="212" t="s">
        <v>486</v>
      </c>
      <c r="C202" s="213" t="s">
        <v>69</v>
      </c>
      <c r="D202" s="213" t="s">
        <v>69</v>
      </c>
      <c r="E202" s="216"/>
      <c r="F202" s="210"/>
      <c r="G202" s="214">
        <f t="shared" si="32"/>
        <v>35</v>
      </c>
      <c r="H202" s="214">
        <f t="shared" si="32"/>
        <v>35</v>
      </c>
      <c r="I202" s="214">
        <f t="shared" si="33"/>
        <v>0</v>
      </c>
      <c r="J202" s="214">
        <f t="shared" si="24"/>
        <v>100</v>
      </c>
      <c r="K202" s="7"/>
      <c r="L202" s="7"/>
      <c r="M202" s="7"/>
    </row>
    <row r="203" spans="1:13" s="5" customFormat="1" ht="22.5">
      <c r="A203" s="215" t="s">
        <v>770</v>
      </c>
      <c r="B203" s="212" t="s">
        <v>486</v>
      </c>
      <c r="C203" s="213" t="s">
        <v>69</v>
      </c>
      <c r="D203" s="213" t="s">
        <v>69</v>
      </c>
      <c r="E203" s="216" t="s">
        <v>113</v>
      </c>
      <c r="F203" s="210"/>
      <c r="G203" s="214">
        <f t="shared" si="32"/>
        <v>35</v>
      </c>
      <c r="H203" s="214">
        <f t="shared" si="32"/>
        <v>35</v>
      </c>
      <c r="I203" s="214">
        <f t="shared" si="33"/>
        <v>0</v>
      </c>
      <c r="J203" s="214">
        <f t="shared" si="24"/>
        <v>100</v>
      </c>
      <c r="K203" s="7"/>
      <c r="L203" s="7"/>
      <c r="M203" s="7"/>
    </row>
    <row r="204" spans="1:13" s="5" customFormat="1" ht="33.75">
      <c r="A204" s="215" t="s">
        <v>106</v>
      </c>
      <c r="B204" s="212" t="s">
        <v>486</v>
      </c>
      <c r="C204" s="213" t="s">
        <v>69</v>
      </c>
      <c r="D204" s="213" t="s">
        <v>69</v>
      </c>
      <c r="E204" s="216" t="s">
        <v>107</v>
      </c>
      <c r="F204" s="210"/>
      <c r="G204" s="214">
        <f t="shared" si="32"/>
        <v>35</v>
      </c>
      <c r="H204" s="214">
        <f t="shared" si="32"/>
        <v>35</v>
      </c>
      <c r="I204" s="214">
        <f t="shared" si="33"/>
        <v>0</v>
      </c>
      <c r="J204" s="214">
        <f t="shared" si="24"/>
        <v>100</v>
      </c>
      <c r="K204" s="7"/>
      <c r="L204" s="7"/>
      <c r="M204" s="7"/>
    </row>
    <row r="205" spans="1:13" s="5" customFormat="1" ht="33.75">
      <c r="A205" s="215" t="s">
        <v>108</v>
      </c>
      <c r="B205" s="212" t="s">
        <v>486</v>
      </c>
      <c r="C205" s="213" t="s">
        <v>69</v>
      </c>
      <c r="D205" s="213" t="s">
        <v>69</v>
      </c>
      <c r="E205" s="216" t="s">
        <v>109</v>
      </c>
      <c r="F205" s="210"/>
      <c r="G205" s="214">
        <f t="shared" si="32"/>
        <v>35</v>
      </c>
      <c r="H205" s="214">
        <f t="shared" si="32"/>
        <v>35</v>
      </c>
      <c r="I205" s="214">
        <f t="shared" si="33"/>
        <v>0</v>
      </c>
      <c r="J205" s="214">
        <f t="shared" si="24"/>
        <v>100</v>
      </c>
      <c r="K205" s="7"/>
      <c r="L205" s="7"/>
      <c r="M205" s="7"/>
    </row>
    <row r="206" spans="1:13" s="5" customFormat="1" ht="33.75">
      <c r="A206" s="211" t="s">
        <v>173</v>
      </c>
      <c r="B206" s="212" t="s">
        <v>486</v>
      </c>
      <c r="C206" s="213" t="s">
        <v>69</v>
      </c>
      <c r="D206" s="213" t="s">
        <v>69</v>
      </c>
      <c r="E206" s="216" t="s">
        <v>109</v>
      </c>
      <c r="F206" s="210">
        <v>726</v>
      </c>
      <c r="G206" s="214">
        <v>35</v>
      </c>
      <c r="H206" s="214">
        <v>35</v>
      </c>
      <c r="I206" s="214">
        <f t="shared" si="33"/>
        <v>0</v>
      </c>
      <c r="J206" s="214">
        <f aca="true" t="shared" si="34" ref="J206:J269">H206/G206*100</f>
        <v>100</v>
      </c>
      <c r="K206" s="7"/>
      <c r="L206" s="7"/>
      <c r="M206" s="7"/>
    </row>
    <row r="207" spans="1:13" s="5" customFormat="1" ht="21">
      <c r="A207" s="207" t="s">
        <v>231</v>
      </c>
      <c r="B207" s="202" t="s">
        <v>487</v>
      </c>
      <c r="C207" s="209"/>
      <c r="D207" s="209"/>
      <c r="E207" s="217"/>
      <c r="F207" s="201"/>
      <c r="G207" s="208">
        <f aca="true" t="shared" si="35" ref="G207:H212">G208</f>
        <v>20</v>
      </c>
      <c r="H207" s="208">
        <f t="shared" si="35"/>
        <v>20</v>
      </c>
      <c r="I207" s="208">
        <f t="shared" si="33"/>
        <v>0</v>
      </c>
      <c r="J207" s="208">
        <f t="shared" si="34"/>
        <v>100</v>
      </c>
      <c r="K207" s="7"/>
      <c r="L207" s="7"/>
      <c r="M207" s="7"/>
    </row>
    <row r="208" spans="1:13" s="5" customFormat="1" ht="12.75">
      <c r="A208" s="207" t="s">
        <v>8</v>
      </c>
      <c r="B208" s="202" t="s">
        <v>487</v>
      </c>
      <c r="C208" s="209" t="s">
        <v>69</v>
      </c>
      <c r="D208" s="209" t="s">
        <v>36</v>
      </c>
      <c r="E208" s="216"/>
      <c r="F208" s="210"/>
      <c r="G208" s="208">
        <f t="shared" si="35"/>
        <v>20</v>
      </c>
      <c r="H208" s="208">
        <f t="shared" si="35"/>
        <v>20</v>
      </c>
      <c r="I208" s="208">
        <f t="shared" si="33"/>
        <v>0</v>
      </c>
      <c r="J208" s="208">
        <f t="shared" si="34"/>
        <v>100</v>
      </c>
      <c r="K208" s="7"/>
      <c r="L208" s="7"/>
      <c r="M208" s="7"/>
    </row>
    <row r="209" spans="1:13" s="5" customFormat="1" ht="12.75">
      <c r="A209" s="228" t="s">
        <v>876</v>
      </c>
      <c r="B209" s="212" t="s">
        <v>487</v>
      </c>
      <c r="C209" s="213" t="s">
        <v>69</v>
      </c>
      <c r="D209" s="213" t="s">
        <v>69</v>
      </c>
      <c r="E209" s="216"/>
      <c r="F209" s="210"/>
      <c r="G209" s="214">
        <f t="shared" si="35"/>
        <v>20</v>
      </c>
      <c r="H209" s="214">
        <f t="shared" si="35"/>
        <v>20</v>
      </c>
      <c r="I209" s="214">
        <f t="shared" si="33"/>
        <v>0</v>
      </c>
      <c r="J209" s="214">
        <f t="shared" si="34"/>
        <v>100</v>
      </c>
      <c r="K209" s="7"/>
      <c r="L209" s="7"/>
      <c r="M209" s="7"/>
    </row>
    <row r="210" spans="1:13" s="5" customFormat="1" ht="22.5">
      <c r="A210" s="215" t="s">
        <v>770</v>
      </c>
      <c r="B210" s="212" t="s">
        <v>487</v>
      </c>
      <c r="C210" s="213" t="s">
        <v>69</v>
      </c>
      <c r="D210" s="213" t="s">
        <v>69</v>
      </c>
      <c r="E210" s="216" t="s">
        <v>113</v>
      </c>
      <c r="F210" s="210"/>
      <c r="G210" s="214">
        <f t="shared" si="35"/>
        <v>20</v>
      </c>
      <c r="H210" s="214">
        <f t="shared" si="35"/>
        <v>20</v>
      </c>
      <c r="I210" s="214">
        <f t="shared" si="33"/>
        <v>0</v>
      </c>
      <c r="J210" s="214">
        <f t="shared" si="34"/>
        <v>100</v>
      </c>
      <c r="K210" s="7"/>
      <c r="L210" s="7"/>
      <c r="M210" s="7"/>
    </row>
    <row r="211" spans="1:13" s="5" customFormat="1" ht="23.25" customHeight="1">
      <c r="A211" s="215" t="s">
        <v>106</v>
      </c>
      <c r="B211" s="212" t="s">
        <v>487</v>
      </c>
      <c r="C211" s="213" t="s">
        <v>69</v>
      </c>
      <c r="D211" s="213" t="s">
        <v>69</v>
      </c>
      <c r="E211" s="216" t="s">
        <v>107</v>
      </c>
      <c r="F211" s="210"/>
      <c r="G211" s="214">
        <f t="shared" si="35"/>
        <v>20</v>
      </c>
      <c r="H211" s="214">
        <f t="shared" si="35"/>
        <v>20</v>
      </c>
      <c r="I211" s="214">
        <f t="shared" si="33"/>
        <v>0</v>
      </c>
      <c r="J211" s="214">
        <f t="shared" si="34"/>
        <v>100</v>
      </c>
      <c r="K211" s="7"/>
      <c r="L211" s="7"/>
      <c r="M211" s="7"/>
    </row>
    <row r="212" spans="1:13" s="5" customFormat="1" ht="22.5" customHeight="1">
      <c r="A212" s="215" t="s">
        <v>108</v>
      </c>
      <c r="B212" s="212" t="s">
        <v>487</v>
      </c>
      <c r="C212" s="213" t="s">
        <v>69</v>
      </c>
      <c r="D212" s="213" t="s">
        <v>69</v>
      </c>
      <c r="E212" s="216" t="s">
        <v>109</v>
      </c>
      <c r="F212" s="210"/>
      <c r="G212" s="214">
        <f t="shared" si="35"/>
        <v>20</v>
      </c>
      <c r="H212" s="214">
        <f t="shared" si="35"/>
        <v>20</v>
      </c>
      <c r="I212" s="214">
        <f t="shared" si="33"/>
        <v>0</v>
      </c>
      <c r="J212" s="214">
        <f t="shared" si="34"/>
        <v>100</v>
      </c>
      <c r="K212" s="7"/>
      <c r="L212" s="7"/>
      <c r="M212" s="7"/>
    </row>
    <row r="213" spans="1:13" s="5" customFormat="1" ht="33.75">
      <c r="A213" s="211" t="s">
        <v>173</v>
      </c>
      <c r="B213" s="212" t="s">
        <v>487</v>
      </c>
      <c r="C213" s="213" t="s">
        <v>69</v>
      </c>
      <c r="D213" s="213" t="s">
        <v>69</v>
      </c>
      <c r="E213" s="216" t="s">
        <v>109</v>
      </c>
      <c r="F213" s="210">
        <v>726</v>
      </c>
      <c r="G213" s="214">
        <v>20</v>
      </c>
      <c r="H213" s="214">
        <v>20</v>
      </c>
      <c r="I213" s="214">
        <f t="shared" si="33"/>
        <v>0</v>
      </c>
      <c r="J213" s="214">
        <f t="shared" si="34"/>
        <v>100</v>
      </c>
      <c r="K213" s="7"/>
      <c r="L213" s="7"/>
      <c r="M213" s="7"/>
    </row>
    <row r="214" spans="1:13" s="5" customFormat="1" ht="42">
      <c r="A214" s="222" t="s">
        <v>745</v>
      </c>
      <c r="B214" s="202" t="s">
        <v>760</v>
      </c>
      <c r="C214" s="209"/>
      <c r="D214" s="209"/>
      <c r="E214" s="217"/>
      <c r="F214" s="201"/>
      <c r="G214" s="208">
        <f aca="true" t="shared" si="36" ref="G214:H219">G215</f>
        <v>661.4</v>
      </c>
      <c r="H214" s="208">
        <f t="shared" si="36"/>
        <v>0</v>
      </c>
      <c r="I214" s="208">
        <f t="shared" si="33"/>
        <v>661.4</v>
      </c>
      <c r="J214" s="208">
        <f t="shared" si="34"/>
        <v>0</v>
      </c>
      <c r="K214" s="7"/>
      <c r="L214" s="7"/>
      <c r="M214" s="7"/>
    </row>
    <row r="215" spans="1:13" s="5" customFormat="1" ht="12.75">
      <c r="A215" s="207" t="s">
        <v>8</v>
      </c>
      <c r="B215" s="212" t="s">
        <v>760</v>
      </c>
      <c r="C215" s="213" t="s">
        <v>69</v>
      </c>
      <c r="D215" s="213" t="s">
        <v>36</v>
      </c>
      <c r="E215" s="210"/>
      <c r="F215" s="210"/>
      <c r="G215" s="214">
        <f t="shared" si="36"/>
        <v>661.4</v>
      </c>
      <c r="H215" s="214">
        <f t="shared" si="36"/>
        <v>0</v>
      </c>
      <c r="I215" s="214">
        <f t="shared" si="33"/>
        <v>661.4</v>
      </c>
      <c r="J215" s="214">
        <f t="shared" si="34"/>
        <v>0</v>
      </c>
      <c r="K215" s="7"/>
      <c r="L215" s="7"/>
      <c r="M215" s="7"/>
    </row>
    <row r="216" spans="1:13" s="5" customFormat="1" ht="12.75">
      <c r="A216" s="211" t="s">
        <v>877</v>
      </c>
      <c r="B216" s="212" t="s">
        <v>760</v>
      </c>
      <c r="C216" s="213" t="s">
        <v>69</v>
      </c>
      <c r="D216" s="213" t="s">
        <v>69</v>
      </c>
      <c r="E216" s="210"/>
      <c r="F216" s="210"/>
      <c r="G216" s="214">
        <f t="shared" si="36"/>
        <v>661.4</v>
      </c>
      <c r="H216" s="214">
        <f t="shared" si="36"/>
        <v>0</v>
      </c>
      <c r="I216" s="214">
        <f t="shared" si="33"/>
        <v>661.4</v>
      </c>
      <c r="J216" s="214">
        <f t="shared" si="34"/>
        <v>0</v>
      </c>
      <c r="K216" s="7"/>
      <c r="L216" s="7"/>
      <c r="M216" s="7"/>
    </row>
    <row r="217" spans="1:13" s="5" customFormat="1" ht="22.5">
      <c r="A217" s="215" t="s">
        <v>770</v>
      </c>
      <c r="B217" s="212" t="s">
        <v>760</v>
      </c>
      <c r="C217" s="213" t="s">
        <v>69</v>
      </c>
      <c r="D217" s="213" t="s">
        <v>69</v>
      </c>
      <c r="E217" s="216" t="s">
        <v>113</v>
      </c>
      <c r="F217" s="210"/>
      <c r="G217" s="214">
        <f t="shared" si="36"/>
        <v>661.4</v>
      </c>
      <c r="H217" s="214">
        <f t="shared" si="36"/>
        <v>0</v>
      </c>
      <c r="I217" s="214">
        <f t="shared" si="33"/>
        <v>661.4</v>
      </c>
      <c r="J217" s="214">
        <f t="shared" si="34"/>
        <v>0</v>
      </c>
      <c r="K217" s="7"/>
      <c r="L217" s="7"/>
      <c r="M217" s="7"/>
    </row>
    <row r="218" spans="1:13" s="5" customFormat="1" ht="25.5" customHeight="1">
      <c r="A218" s="215" t="s">
        <v>106</v>
      </c>
      <c r="B218" s="212" t="s">
        <v>760</v>
      </c>
      <c r="C218" s="213" t="s">
        <v>69</v>
      </c>
      <c r="D218" s="213" t="s">
        <v>69</v>
      </c>
      <c r="E218" s="216" t="s">
        <v>107</v>
      </c>
      <c r="F218" s="210"/>
      <c r="G218" s="214">
        <f t="shared" si="36"/>
        <v>661.4</v>
      </c>
      <c r="H218" s="214">
        <f t="shared" si="36"/>
        <v>0</v>
      </c>
      <c r="I218" s="214">
        <f t="shared" si="33"/>
        <v>661.4</v>
      </c>
      <c r="J218" s="214">
        <f t="shared" si="34"/>
        <v>0</v>
      </c>
      <c r="K218" s="7"/>
      <c r="L218" s="7"/>
      <c r="M218" s="7"/>
    </row>
    <row r="219" spans="1:13" s="5" customFormat="1" ht="22.5" customHeight="1">
      <c r="A219" s="215" t="s">
        <v>108</v>
      </c>
      <c r="B219" s="212" t="s">
        <v>760</v>
      </c>
      <c r="C219" s="213" t="s">
        <v>69</v>
      </c>
      <c r="D219" s="213" t="s">
        <v>69</v>
      </c>
      <c r="E219" s="216" t="s">
        <v>109</v>
      </c>
      <c r="F219" s="210"/>
      <c r="G219" s="214">
        <f t="shared" si="36"/>
        <v>661.4</v>
      </c>
      <c r="H219" s="214">
        <f t="shared" si="36"/>
        <v>0</v>
      </c>
      <c r="I219" s="214">
        <f t="shared" si="33"/>
        <v>661.4</v>
      </c>
      <c r="J219" s="214">
        <f t="shared" si="34"/>
        <v>0</v>
      </c>
      <c r="K219" s="7"/>
      <c r="L219" s="7"/>
      <c r="M219" s="7"/>
    </row>
    <row r="220" spans="1:13" s="5" customFormat="1" ht="23.25" customHeight="1">
      <c r="A220" s="211" t="s">
        <v>173</v>
      </c>
      <c r="B220" s="212" t="s">
        <v>760</v>
      </c>
      <c r="C220" s="213" t="s">
        <v>69</v>
      </c>
      <c r="D220" s="213" t="s">
        <v>69</v>
      </c>
      <c r="E220" s="216" t="s">
        <v>109</v>
      </c>
      <c r="F220" s="210">
        <v>726</v>
      </c>
      <c r="G220" s="214">
        <f>661.5-0.1</f>
        <v>661.4</v>
      </c>
      <c r="H220" s="214"/>
      <c r="I220" s="214">
        <f t="shared" si="33"/>
        <v>661.4</v>
      </c>
      <c r="J220" s="214">
        <f t="shared" si="34"/>
        <v>0</v>
      </c>
      <c r="K220" s="7"/>
      <c r="L220" s="7"/>
      <c r="M220" s="7"/>
    </row>
    <row r="221" spans="1:13" s="113" customFormat="1" ht="31.5">
      <c r="A221" s="222" t="s">
        <v>746</v>
      </c>
      <c r="B221" s="202" t="s">
        <v>761</v>
      </c>
      <c r="C221" s="209"/>
      <c r="D221" s="209"/>
      <c r="E221" s="217"/>
      <c r="F221" s="201"/>
      <c r="G221" s="208">
        <f aca="true" t="shared" si="37" ref="G221:H226">G222</f>
        <v>10</v>
      </c>
      <c r="H221" s="208">
        <f t="shared" si="37"/>
        <v>0</v>
      </c>
      <c r="I221" s="208">
        <f t="shared" si="33"/>
        <v>10</v>
      </c>
      <c r="J221" s="208">
        <f t="shared" si="34"/>
        <v>0</v>
      </c>
      <c r="K221" s="58"/>
      <c r="L221" s="58"/>
      <c r="M221" s="58"/>
    </row>
    <row r="222" spans="1:13" s="113" customFormat="1" ht="12.75">
      <c r="A222" s="207" t="s">
        <v>8</v>
      </c>
      <c r="B222" s="202" t="s">
        <v>761</v>
      </c>
      <c r="C222" s="209" t="s">
        <v>69</v>
      </c>
      <c r="D222" s="209" t="s">
        <v>36</v>
      </c>
      <c r="E222" s="217"/>
      <c r="F222" s="201"/>
      <c r="G222" s="208">
        <f t="shared" si="37"/>
        <v>10</v>
      </c>
      <c r="H222" s="208">
        <f t="shared" si="37"/>
        <v>0</v>
      </c>
      <c r="I222" s="208">
        <f t="shared" si="33"/>
        <v>10</v>
      </c>
      <c r="J222" s="208">
        <f t="shared" si="34"/>
        <v>0</v>
      </c>
      <c r="K222" s="58"/>
      <c r="L222" s="58"/>
      <c r="M222" s="58"/>
    </row>
    <row r="223" spans="1:13" s="5" customFormat="1" ht="12.75">
      <c r="A223" s="228" t="s">
        <v>876</v>
      </c>
      <c r="B223" s="212" t="s">
        <v>761</v>
      </c>
      <c r="C223" s="213" t="s">
        <v>69</v>
      </c>
      <c r="D223" s="213" t="s">
        <v>69</v>
      </c>
      <c r="E223" s="216"/>
      <c r="F223" s="210"/>
      <c r="G223" s="214">
        <f t="shared" si="37"/>
        <v>10</v>
      </c>
      <c r="H223" s="214">
        <f t="shared" si="37"/>
        <v>0</v>
      </c>
      <c r="I223" s="214">
        <f t="shared" si="33"/>
        <v>10</v>
      </c>
      <c r="J223" s="214">
        <f t="shared" si="34"/>
        <v>0</v>
      </c>
      <c r="K223" s="7"/>
      <c r="L223" s="7"/>
      <c r="M223" s="7"/>
    </row>
    <row r="224" spans="1:13" s="5" customFormat="1" ht="22.5">
      <c r="A224" s="215" t="s">
        <v>770</v>
      </c>
      <c r="B224" s="212" t="s">
        <v>761</v>
      </c>
      <c r="C224" s="213" t="s">
        <v>69</v>
      </c>
      <c r="D224" s="213" t="s">
        <v>69</v>
      </c>
      <c r="E224" s="216" t="s">
        <v>113</v>
      </c>
      <c r="F224" s="210"/>
      <c r="G224" s="214">
        <f t="shared" si="37"/>
        <v>10</v>
      </c>
      <c r="H224" s="214">
        <f t="shared" si="37"/>
        <v>0</v>
      </c>
      <c r="I224" s="214">
        <f t="shared" si="33"/>
        <v>10</v>
      </c>
      <c r="J224" s="214">
        <f t="shared" si="34"/>
        <v>0</v>
      </c>
      <c r="K224" s="7"/>
      <c r="L224" s="7"/>
      <c r="M224" s="7"/>
    </row>
    <row r="225" spans="1:13" s="5" customFormat="1" ht="32.25" customHeight="1">
      <c r="A225" s="221" t="s">
        <v>106</v>
      </c>
      <c r="B225" s="212" t="s">
        <v>761</v>
      </c>
      <c r="C225" s="213" t="s">
        <v>69</v>
      </c>
      <c r="D225" s="213" t="s">
        <v>69</v>
      </c>
      <c r="E225" s="216" t="s">
        <v>107</v>
      </c>
      <c r="F225" s="210"/>
      <c r="G225" s="214">
        <f t="shared" si="37"/>
        <v>10</v>
      </c>
      <c r="H225" s="214">
        <f t="shared" si="37"/>
        <v>0</v>
      </c>
      <c r="I225" s="214">
        <f t="shared" si="33"/>
        <v>10</v>
      </c>
      <c r="J225" s="214">
        <f t="shared" si="34"/>
        <v>0</v>
      </c>
      <c r="K225" s="7"/>
      <c r="L225" s="7"/>
      <c r="M225" s="7"/>
    </row>
    <row r="226" spans="1:13" s="5" customFormat="1" ht="36.75" customHeight="1">
      <c r="A226" s="221" t="s">
        <v>108</v>
      </c>
      <c r="B226" s="212" t="s">
        <v>761</v>
      </c>
      <c r="C226" s="213" t="s">
        <v>69</v>
      </c>
      <c r="D226" s="213" t="s">
        <v>69</v>
      </c>
      <c r="E226" s="216" t="s">
        <v>109</v>
      </c>
      <c r="F226" s="210"/>
      <c r="G226" s="214">
        <f t="shared" si="37"/>
        <v>10</v>
      </c>
      <c r="H226" s="214">
        <f t="shared" si="37"/>
        <v>0</v>
      </c>
      <c r="I226" s="214">
        <f t="shared" si="33"/>
        <v>10</v>
      </c>
      <c r="J226" s="214">
        <f t="shared" si="34"/>
        <v>0</v>
      </c>
      <c r="K226" s="7"/>
      <c r="L226" s="7"/>
      <c r="M226" s="7"/>
    </row>
    <row r="227" spans="1:13" s="5" customFormat="1" ht="33.75">
      <c r="A227" s="211" t="s">
        <v>173</v>
      </c>
      <c r="B227" s="212" t="s">
        <v>761</v>
      </c>
      <c r="C227" s="213" t="s">
        <v>69</v>
      </c>
      <c r="D227" s="213" t="s">
        <v>69</v>
      </c>
      <c r="E227" s="216" t="s">
        <v>109</v>
      </c>
      <c r="F227" s="210">
        <v>726</v>
      </c>
      <c r="G227" s="214">
        <v>10</v>
      </c>
      <c r="H227" s="214"/>
      <c r="I227" s="214">
        <f t="shared" si="33"/>
        <v>10</v>
      </c>
      <c r="J227" s="214">
        <f t="shared" si="34"/>
        <v>0</v>
      </c>
      <c r="K227" s="7"/>
      <c r="L227" s="7"/>
      <c r="M227" s="7"/>
    </row>
    <row r="228" spans="1:13" s="5" customFormat="1" ht="31.5">
      <c r="A228" s="207" t="s">
        <v>368</v>
      </c>
      <c r="B228" s="202" t="s">
        <v>238</v>
      </c>
      <c r="C228" s="209"/>
      <c r="D228" s="209"/>
      <c r="E228" s="210"/>
      <c r="F228" s="210"/>
      <c r="G228" s="208">
        <f>G229</f>
        <v>1150</v>
      </c>
      <c r="H228" s="208">
        <f>H229</f>
        <v>1150</v>
      </c>
      <c r="I228" s="208">
        <f t="shared" si="33"/>
        <v>0</v>
      </c>
      <c r="J228" s="208">
        <f t="shared" si="34"/>
        <v>100</v>
      </c>
      <c r="K228" s="180"/>
      <c r="L228" s="7"/>
      <c r="M228" s="7"/>
    </row>
    <row r="229" spans="1:13" s="5" customFormat="1" ht="31.5">
      <c r="A229" s="207" t="s">
        <v>302</v>
      </c>
      <c r="B229" s="202" t="s">
        <v>494</v>
      </c>
      <c r="C229" s="209"/>
      <c r="D229" s="209"/>
      <c r="E229" s="210"/>
      <c r="F229" s="210"/>
      <c r="G229" s="208">
        <f>G230+G237+G244</f>
        <v>1150</v>
      </c>
      <c r="H229" s="208">
        <f>H230+H237+H244</f>
        <v>1150</v>
      </c>
      <c r="I229" s="208">
        <f t="shared" si="33"/>
        <v>0</v>
      </c>
      <c r="J229" s="208">
        <f t="shared" si="34"/>
        <v>100</v>
      </c>
      <c r="K229" s="180"/>
      <c r="L229" s="7"/>
      <c r="M229" s="7"/>
    </row>
    <row r="230" spans="1:13" s="5" customFormat="1" ht="24.75" customHeight="1">
      <c r="A230" s="207" t="s">
        <v>236</v>
      </c>
      <c r="B230" s="202" t="s">
        <v>495</v>
      </c>
      <c r="C230" s="209"/>
      <c r="D230" s="209"/>
      <c r="E230" s="210"/>
      <c r="F230" s="210"/>
      <c r="G230" s="208">
        <f aca="true" t="shared" si="38" ref="G230:H235">G231</f>
        <v>623.8</v>
      </c>
      <c r="H230" s="208">
        <f t="shared" si="38"/>
        <v>623.8</v>
      </c>
      <c r="I230" s="208">
        <f t="shared" si="33"/>
        <v>0</v>
      </c>
      <c r="J230" s="208">
        <f t="shared" si="34"/>
        <v>100</v>
      </c>
      <c r="K230" s="180"/>
      <c r="L230" s="7"/>
      <c r="M230" s="7"/>
    </row>
    <row r="231" spans="1:13" s="5" customFormat="1" ht="12.75">
      <c r="A231" s="207" t="s">
        <v>85</v>
      </c>
      <c r="B231" s="202" t="s">
        <v>495</v>
      </c>
      <c r="C231" s="209" t="s">
        <v>74</v>
      </c>
      <c r="D231" s="209" t="s">
        <v>36</v>
      </c>
      <c r="E231" s="210"/>
      <c r="F231" s="210"/>
      <c r="G231" s="208">
        <f t="shared" si="38"/>
        <v>623.8</v>
      </c>
      <c r="H231" s="208">
        <f t="shared" si="38"/>
        <v>623.8</v>
      </c>
      <c r="I231" s="208">
        <f t="shared" si="33"/>
        <v>0</v>
      </c>
      <c r="J231" s="208">
        <f t="shared" si="34"/>
        <v>100</v>
      </c>
      <c r="K231" s="7"/>
      <c r="L231" s="7"/>
      <c r="M231" s="7"/>
    </row>
    <row r="232" spans="1:13" s="5" customFormat="1" ht="12.75">
      <c r="A232" s="211" t="s">
        <v>86</v>
      </c>
      <c r="B232" s="212" t="s">
        <v>495</v>
      </c>
      <c r="C232" s="213" t="s">
        <v>74</v>
      </c>
      <c r="D232" s="213" t="s">
        <v>66</v>
      </c>
      <c r="E232" s="210"/>
      <c r="F232" s="210"/>
      <c r="G232" s="214">
        <f t="shared" si="38"/>
        <v>623.8</v>
      </c>
      <c r="H232" s="214">
        <f t="shared" si="38"/>
        <v>623.8</v>
      </c>
      <c r="I232" s="214">
        <f t="shared" si="33"/>
        <v>0</v>
      </c>
      <c r="J232" s="214">
        <f t="shared" si="34"/>
        <v>100</v>
      </c>
      <c r="K232" s="7"/>
      <c r="L232" s="7"/>
      <c r="M232" s="7"/>
    </row>
    <row r="233" spans="1:13" s="5" customFormat="1" ht="24" customHeight="1">
      <c r="A233" s="215" t="s">
        <v>114</v>
      </c>
      <c r="B233" s="212" t="s">
        <v>495</v>
      </c>
      <c r="C233" s="213" t="s">
        <v>74</v>
      </c>
      <c r="D233" s="213" t="s">
        <v>66</v>
      </c>
      <c r="E233" s="216" t="s">
        <v>115</v>
      </c>
      <c r="F233" s="210"/>
      <c r="G233" s="214">
        <f t="shared" si="38"/>
        <v>623.8</v>
      </c>
      <c r="H233" s="214">
        <f t="shared" si="38"/>
        <v>623.8</v>
      </c>
      <c r="I233" s="214">
        <f t="shared" si="33"/>
        <v>0</v>
      </c>
      <c r="J233" s="214">
        <f t="shared" si="34"/>
        <v>100</v>
      </c>
      <c r="K233" s="7"/>
      <c r="L233" s="7"/>
      <c r="M233" s="7"/>
    </row>
    <row r="234" spans="1:13" s="5" customFormat="1" ht="12.75">
      <c r="A234" s="215" t="s">
        <v>120</v>
      </c>
      <c r="B234" s="212" t="s">
        <v>495</v>
      </c>
      <c r="C234" s="213" t="s">
        <v>74</v>
      </c>
      <c r="D234" s="213" t="s">
        <v>66</v>
      </c>
      <c r="E234" s="216" t="s">
        <v>121</v>
      </c>
      <c r="F234" s="210"/>
      <c r="G234" s="214">
        <f t="shared" si="38"/>
        <v>623.8</v>
      </c>
      <c r="H234" s="214">
        <f t="shared" si="38"/>
        <v>623.8</v>
      </c>
      <c r="I234" s="214">
        <f t="shared" si="33"/>
        <v>0</v>
      </c>
      <c r="J234" s="214">
        <f t="shared" si="34"/>
        <v>100</v>
      </c>
      <c r="K234" s="7"/>
      <c r="L234" s="7"/>
      <c r="M234" s="7"/>
    </row>
    <row r="235" spans="1:13" s="5" customFormat="1" ht="12.75">
      <c r="A235" s="215" t="s">
        <v>124</v>
      </c>
      <c r="B235" s="212" t="s">
        <v>495</v>
      </c>
      <c r="C235" s="213" t="s">
        <v>74</v>
      </c>
      <c r="D235" s="213" t="s">
        <v>66</v>
      </c>
      <c r="E235" s="216" t="s">
        <v>125</v>
      </c>
      <c r="F235" s="210"/>
      <c r="G235" s="214">
        <f t="shared" si="38"/>
        <v>623.8</v>
      </c>
      <c r="H235" s="214">
        <f t="shared" si="38"/>
        <v>623.8</v>
      </c>
      <c r="I235" s="214">
        <f t="shared" si="33"/>
        <v>0</v>
      </c>
      <c r="J235" s="214">
        <f t="shared" si="34"/>
        <v>100</v>
      </c>
      <c r="K235" s="7"/>
      <c r="L235" s="7"/>
      <c r="M235" s="7"/>
    </row>
    <row r="236" spans="1:13" s="5" customFormat="1" ht="33.75">
      <c r="A236" s="211" t="s">
        <v>173</v>
      </c>
      <c r="B236" s="212" t="s">
        <v>495</v>
      </c>
      <c r="C236" s="213" t="s">
        <v>74</v>
      </c>
      <c r="D236" s="213" t="s">
        <v>66</v>
      </c>
      <c r="E236" s="216" t="s">
        <v>125</v>
      </c>
      <c r="F236" s="210">
        <v>726</v>
      </c>
      <c r="G236" s="214">
        <f>576.8+47</f>
        <v>623.8</v>
      </c>
      <c r="H236" s="214">
        <v>623.8</v>
      </c>
      <c r="I236" s="214">
        <f t="shared" si="33"/>
        <v>0</v>
      </c>
      <c r="J236" s="214">
        <f t="shared" si="34"/>
        <v>100</v>
      </c>
      <c r="K236" s="7"/>
      <c r="L236" s="7"/>
      <c r="M236" s="7"/>
    </row>
    <row r="237" spans="1:13" s="5" customFormat="1" ht="12.75">
      <c r="A237" s="207" t="s">
        <v>204</v>
      </c>
      <c r="B237" s="202" t="s">
        <v>496</v>
      </c>
      <c r="C237" s="213"/>
      <c r="D237" s="213"/>
      <c r="E237" s="216"/>
      <c r="F237" s="210"/>
      <c r="G237" s="208">
        <f aca="true" t="shared" si="39" ref="G237:H242">G238</f>
        <v>203.2</v>
      </c>
      <c r="H237" s="208">
        <f t="shared" si="39"/>
        <v>203.2</v>
      </c>
      <c r="I237" s="208">
        <f t="shared" si="33"/>
        <v>0</v>
      </c>
      <c r="J237" s="208">
        <f t="shared" si="34"/>
        <v>100</v>
      </c>
      <c r="K237" s="7"/>
      <c r="L237" s="7"/>
      <c r="M237" s="7"/>
    </row>
    <row r="238" spans="1:13" s="5" customFormat="1" ht="12.75">
      <c r="A238" s="207" t="s">
        <v>85</v>
      </c>
      <c r="B238" s="202" t="s">
        <v>496</v>
      </c>
      <c r="C238" s="209" t="s">
        <v>74</v>
      </c>
      <c r="D238" s="209" t="s">
        <v>36</v>
      </c>
      <c r="E238" s="210"/>
      <c r="F238" s="210"/>
      <c r="G238" s="208">
        <f t="shared" si="39"/>
        <v>203.2</v>
      </c>
      <c r="H238" s="208">
        <f t="shared" si="39"/>
        <v>203.2</v>
      </c>
      <c r="I238" s="208">
        <f t="shared" si="33"/>
        <v>0</v>
      </c>
      <c r="J238" s="208">
        <f t="shared" si="34"/>
        <v>100</v>
      </c>
      <c r="K238" s="7"/>
      <c r="L238" s="7"/>
      <c r="M238" s="7"/>
    </row>
    <row r="239" spans="1:13" s="5" customFormat="1" ht="12.75">
      <c r="A239" s="211" t="s">
        <v>86</v>
      </c>
      <c r="B239" s="212" t="s">
        <v>496</v>
      </c>
      <c r="C239" s="213" t="s">
        <v>74</v>
      </c>
      <c r="D239" s="213" t="s">
        <v>66</v>
      </c>
      <c r="E239" s="210"/>
      <c r="F239" s="210"/>
      <c r="G239" s="214">
        <f t="shared" si="39"/>
        <v>203.2</v>
      </c>
      <c r="H239" s="214">
        <f t="shared" si="39"/>
        <v>203.2</v>
      </c>
      <c r="I239" s="214">
        <f t="shared" si="33"/>
        <v>0</v>
      </c>
      <c r="J239" s="214">
        <f t="shared" si="34"/>
        <v>100</v>
      </c>
      <c r="K239" s="7"/>
      <c r="L239" s="7"/>
      <c r="M239" s="7"/>
    </row>
    <row r="240" spans="1:13" s="5" customFormat="1" ht="33.75">
      <c r="A240" s="215" t="s">
        <v>114</v>
      </c>
      <c r="B240" s="212" t="s">
        <v>496</v>
      </c>
      <c r="C240" s="213" t="s">
        <v>74</v>
      </c>
      <c r="D240" s="213" t="s">
        <v>66</v>
      </c>
      <c r="E240" s="216" t="s">
        <v>115</v>
      </c>
      <c r="F240" s="210"/>
      <c r="G240" s="214">
        <f t="shared" si="39"/>
        <v>203.2</v>
      </c>
      <c r="H240" s="214">
        <f t="shared" si="39"/>
        <v>203.2</v>
      </c>
      <c r="I240" s="214">
        <f t="shared" si="33"/>
        <v>0</v>
      </c>
      <c r="J240" s="214">
        <f t="shared" si="34"/>
        <v>100</v>
      </c>
      <c r="K240" s="7"/>
      <c r="L240" s="7"/>
      <c r="M240" s="7"/>
    </row>
    <row r="241" spans="1:13" s="5" customFormat="1" ht="12.75">
      <c r="A241" s="215" t="s">
        <v>120</v>
      </c>
      <c r="B241" s="212" t="s">
        <v>496</v>
      </c>
      <c r="C241" s="213" t="s">
        <v>74</v>
      </c>
      <c r="D241" s="213" t="s">
        <v>66</v>
      </c>
      <c r="E241" s="216" t="s">
        <v>121</v>
      </c>
      <c r="F241" s="210"/>
      <c r="G241" s="214">
        <f t="shared" si="39"/>
        <v>203.2</v>
      </c>
      <c r="H241" s="214">
        <f t="shared" si="39"/>
        <v>203.2</v>
      </c>
      <c r="I241" s="214">
        <f t="shared" si="33"/>
        <v>0</v>
      </c>
      <c r="J241" s="214">
        <f t="shared" si="34"/>
        <v>100</v>
      </c>
      <c r="K241" s="7"/>
      <c r="L241" s="7"/>
      <c r="M241" s="7"/>
    </row>
    <row r="242" spans="1:13" s="5" customFormat="1" ht="12.75">
      <c r="A242" s="215" t="s">
        <v>124</v>
      </c>
      <c r="B242" s="212" t="s">
        <v>496</v>
      </c>
      <c r="C242" s="213" t="s">
        <v>74</v>
      </c>
      <c r="D242" s="213" t="s">
        <v>66</v>
      </c>
      <c r="E242" s="216" t="s">
        <v>125</v>
      </c>
      <c r="F242" s="210"/>
      <c r="G242" s="214">
        <f t="shared" si="39"/>
        <v>203.2</v>
      </c>
      <c r="H242" s="214">
        <f t="shared" si="39"/>
        <v>203.2</v>
      </c>
      <c r="I242" s="214">
        <f t="shared" si="33"/>
        <v>0</v>
      </c>
      <c r="J242" s="214">
        <f t="shared" si="34"/>
        <v>100</v>
      </c>
      <c r="K242" s="7"/>
      <c r="L242" s="7"/>
      <c r="M242" s="7"/>
    </row>
    <row r="243" spans="1:13" s="5" customFormat="1" ht="33.75">
      <c r="A243" s="211" t="s">
        <v>173</v>
      </c>
      <c r="B243" s="212" t="s">
        <v>496</v>
      </c>
      <c r="C243" s="213" t="s">
        <v>74</v>
      </c>
      <c r="D243" s="213" t="s">
        <v>66</v>
      </c>
      <c r="E243" s="216" t="s">
        <v>125</v>
      </c>
      <c r="F243" s="210">
        <v>726</v>
      </c>
      <c r="G243" s="214">
        <f>173.2+30</f>
        <v>203.2</v>
      </c>
      <c r="H243" s="214">
        <v>203.2</v>
      </c>
      <c r="I243" s="214">
        <f t="shared" si="33"/>
        <v>0</v>
      </c>
      <c r="J243" s="214">
        <f t="shared" si="34"/>
        <v>100</v>
      </c>
      <c r="K243" s="7"/>
      <c r="L243" s="7"/>
      <c r="M243" s="7"/>
    </row>
    <row r="244" spans="1:13" s="5" customFormat="1" ht="12.75">
      <c r="A244" s="207" t="s">
        <v>237</v>
      </c>
      <c r="B244" s="202" t="s">
        <v>497</v>
      </c>
      <c r="C244" s="209"/>
      <c r="D244" s="209"/>
      <c r="E244" s="217"/>
      <c r="F244" s="201"/>
      <c r="G244" s="208">
        <f aca="true" t="shared" si="40" ref="G244:H249">G245</f>
        <v>323</v>
      </c>
      <c r="H244" s="208">
        <f t="shared" si="40"/>
        <v>323</v>
      </c>
      <c r="I244" s="208">
        <f t="shared" si="33"/>
        <v>0</v>
      </c>
      <c r="J244" s="208">
        <f t="shared" si="34"/>
        <v>100</v>
      </c>
      <c r="K244" s="7"/>
      <c r="L244" s="7"/>
      <c r="M244" s="7"/>
    </row>
    <row r="245" spans="1:13" s="5" customFormat="1" ht="12.75">
      <c r="A245" s="207" t="s">
        <v>85</v>
      </c>
      <c r="B245" s="202" t="s">
        <v>497</v>
      </c>
      <c r="C245" s="209" t="s">
        <v>74</v>
      </c>
      <c r="D245" s="209" t="s">
        <v>36</v>
      </c>
      <c r="E245" s="210"/>
      <c r="F245" s="210"/>
      <c r="G245" s="208">
        <f t="shared" si="40"/>
        <v>323</v>
      </c>
      <c r="H245" s="208">
        <f t="shared" si="40"/>
        <v>323</v>
      </c>
      <c r="I245" s="208">
        <f t="shared" si="33"/>
        <v>0</v>
      </c>
      <c r="J245" s="208">
        <f t="shared" si="34"/>
        <v>100</v>
      </c>
      <c r="K245" s="7"/>
      <c r="L245" s="7"/>
      <c r="M245" s="7"/>
    </row>
    <row r="246" spans="1:13" s="5" customFormat="1" ht="12.75">
      <c r="A246" s="211" t="s">
        <v>86</v>
      </c>
      <c r="B246" s="212" t="s">
        <v>497</v>
      </c>
      <c r="C246" s="213" t="s">
        <v>74</v>
      </c>
      <c r="D246" s="213" t="s">
        <v>66</v>
      </c>
      <c r="E246" s="210"/>
      <c r="F246" s="210"/>
      <c r="G246" s="214">
        <f t="shared" si="40"/>
        <v>323</v>
      </c>
      <c r="H246" s="214">
        <f t="shared" si="40"/>
        <v>323</v>
      </c>
      <c r="I246" s="214">
        <f t="shared" si="33"/>
        <v>0</v>
      </c>
      <c r="J246" s="214">
        <f t="shared" si="34"/>
        <v>100</v>
      </c>
      <c r="K246" s="7"/>
      <c r="L246" s="7"/>
      <c r="M246" s="7"/>
    </row>
    <row r="247" spans="1:13" s="5" customFormat="1" ht="23.25" customHeight="1">
      <c r="A247" s="215" t="s">
        <v>114</v>
      </c>
      <c r="B247" s="212" t="s">
        <v>497</v>
      </c>
      <c r="C247" s="213" t="s">
        <v>74</v>
      </c>
      <c r="D247" s="213" t="s">
        <v>66</v>
      </c>
      <c r="E247" s="216" t="s">
        <v>115</v>
      </c>
      <c r="F247" s="210"/>
      <c r="G247" s="214">
        <f t="shared" si="40"/>
        <v>323</v>
      </c>
      <c r="H247" s="214">
        <f t="shared" si="40"/>
        <v>323</v>
      </c>
      <c r="I247" s="214">
        <f t="shared" si="33"/>
        <v>0</v>
      </c>
      <c r="J247" s="214">
        <f t="shared" si="34"/>
        <v>100</v>
      </c>
      <c r="K247" s="7"/>
      <c r="L247" s="7"/>
      <c r="M247" s="7"/>
    </row>
    <row r="248" spans="1:13" s="5" customFormat="1" ht="12.75">
      <c r="A248" s="215" t="s">
        <v>120</v>
      </c>
      <c r="B248" s="212" t="s">
        <v>497</v>
      </c>
      <c r="C248" s="213" t="s">
        <v>74</v>
      </c>
      <c r="D248" s="213" t="s">
        <v>66</v>
      </c>
      <c r="E248" s="216" t="s">
        <v>121</v>
      </c>
      <c r="F248" s="210"/>
      <c r="G248" s="214">
        <f t="shared" si="40"/>
        <v>323</v>
      </c>
      <c r="H248" s="214">
        <f t="shared" si="40"/>
        <v>323</v>
      </c>
      <c r="I248" s="214">
        <f t="shared" si="33"/>
        <v>0</v>
      </c>
      <c r="J248" s="214">
        <f t="shared" si="34"/>
        <v>100</v>
      </c>
      <c r="K248" s="7"/>
      <c r="L248" s="7"/>
      <c r="M248" s="7"/>
    </row>
    <row r="249" spans="1:13" s="5" customFormat="1" ht="12.75">
      <c r="A249" s="215" t="s">
        <v>124</v>
      </c>
      <c r="B249" s="212" t="s">
        <v>497</v>
      </c>
      <c r="C249" s="213" t="s">
        <v>74</v>
      </c>
      <c r="D249" s="213" t="s">
        <v>66</v>
      </c>
      <c r="E249" s="216" t="s">
        <v>125</v>
      </c>
      <c r="F249" s="210"/>
      <c r="G249" s="214">
        <f t="shared" si="40"/>
        <v>323</v>
      </c>
      <c r="H249" s="214">
        <f t="shared" si="40"/>
        <v>323</v>
      </c>
      <c r="I249" s="214">
        <f t="shared" si="33"/>
        <v>0</v>
      </c>
      <c r="J249" s="214">
        <f t="shared" si="34"/>
        <v>100</v>
      </c>
      <c r="K249" s="7"/>
      <c r="L249" s="7"/>
      <c r="M249" s="7"/>
    </row>
    <row r="250" spans="1:13" s="5" customFormat="1" ht="33.75">
      <c r="A250" s="211" t="s">
        <v>173</v>
      </c>
      <c r="B250" s="212" t="s">
        <v>497</v>
      </c>
      <c r="C250" s="213" t="s">
        <v>74</v>
      </c>
      <c r="D250" s="213" t="s">
        <v>66</v>
      </c>
      <c r="E250" s="216" t="s">
        <v>125</v>
      </c>
      <c r="F250" s="210">
        <v>726</v>
      </c>
      <c r="G250" s="214">
        <f>400-77</f>
        <v>323</v>
      </c>
      <c r="H250" s="214">
        <v>323</v>
      </c>
      <c r="I250" s="214">
        <f t="shared" si="33"/>
        <v>0</v>
      </c>
      <c r="J250" s="214">
        <f t="shared" si="34"/>
        <v>100</v>
      </c>
      <c r="K250" s="7"/>
      <c r="L250" s="7"/>
      <c r="M250" s="7"/>
    </row>
    <row r="251" spans="1:13" s="5" customFormat="1" ht="31.5">
      <c r="A251" s="207" t="s">
        <v>367</v>
      </c>
      <c r="B251" s="202" t="s">
        <v>239</v>
      </c>
      <c r="C251" s="213"/>
      <c r="D251" s="213"/>
      <c r="E251" s="210"/>
      <c r="F251" s="210"/>
      <c r="G251" s="208">
        <f>G252</f>
        <v>1411.8</v>
      </c>
      <c r="H251" s="208">
        <f>H252</f>
        <v>1411.8</v>
      </c>
      <c r="I251" s="208">
        <f t="shared" si="33"/>
        <v>0</v>
      </c>
      <c r="J251" s="208">
        <f t="shared" si="34"/>
        <v>100</v>
      </c>
      <c r="K251" s="180"/>
      <c r="L251" s="7"/>
      <c r="M251" s="7"/>
    </row>
    <row r="252" spans="1:13" s="5" customFormat="1" ht="23.25" customHeight="1">
      <c r="A252" s="207" t="s">
        <v>301</v>
      </c>
      <c r="B252" s="202" t="s">
        <v>493</v>
      </c>
      <c r="C252" s="213"/>
      <c r="D252" s="213"/>
      <c r="E252" s="210"/>
      <c r="F252" s="210"/>
      <c r="G252" s="208">
        <f>G260+G253</f>
        <v>1411.8</v>
      </c>
      <c r="H252" s="208">
        <f>H260+H253</f>
        <v>1411.8</v>
      </c>
      <c r="I252" s="208">
        <f t="shared" si="33"/>
        <v>0</v>
      </c>
      <c r="J252" s="208">
        <f t="shared" si="34"/>
        <v>100</v>
      </c>
      <c r="K252" s="180"/>
      <c r="L252" s="7"/>
      <c r="M252" s="7"/>
    </row>
    <row r="253" spans="1:13" s="113" customFormat="1" ht="43.5" customHeight="1">
      <c r="A253" s="218" t="s">
        <v>743</v>
      </c>
      <c r="B253" s="219" t="s">
        <v>681</v>
      </c>
      <c r="C253" s="209"/>
      <c r="D253" s="209"/>
      <c r="E253" s="201"/>
      <c r="F253" s="201"/>
      <c r="G253" s="208">
        <f aca="true" t="shared" si="41" ref="G253:H258">G254</f>
        <v>1210</v>
      </c>
      <c r="H253" s="208">
        <f t="shared" si="41"/>
        <v>1210</v>
      </c>
      <c r="I253" s="208">
        <f t="shared" si="33"/>
        <v>0</v>
      </c>
      <c r="J253" s="208">
        <f t="shared" si="34"/>
        <v>100</v>
      </c>
      <c r="K253" s="181"/>
      <c r="L253" s="58"/>
      <c r="M253" s="58"/>
    </row>
    <row r="254" spans="1:13" s="113" customFormat="1" ht="12.75">
      <c r="A254" s="222" t="s">
        <v>62</v>
      </c>
      <c r="B254" s="219" t="s">
        <v>681</v>
      </c>
      <c r="C254" s="209" t="s">
        <v>71</v>
      </c>
      <c r="D254" s="209" t="s">
        <v>36</v>
      </c>
      <c r="E254" s="201"/>
      <c r="F254" s="201"/>
      <c r="G254" s="208">
        <f t="shared" si="41"/>
        <v>1210</v>
      </c>
      <c r="H254" s="208">
        <f t="shared" si="41"/>
        <v>1210</v>
      </c>
      <c r="I254" s="208">
        <f t="shared" si="33"/>
        <v>0</v>
      </c>
      <c r="J254" s="208">
        <f t="shared" si="34"/>
        <v>100</v>
      </c>
      <c r="K254" s="181"/>
      <c r="L254" s="58"/>
      <c r="M254" s="58"/>
    </row>
    <row r="255" spans="1:13" s="5" customFormat="1" ht="12.75">
      <c r="A255" s="221" t="s">
        <v>61</v>
      </c>
      <c r="B255" s="220" t="s">
        <v>681</v>
      </c>
      <c r="C255" s="213" t="s">
        <v>71</v>
      </c>
      <c r="D255" s="213" t="s">
        <v>70</v>
      </c>
      <c r="E255" s="210"/>
      <c r="F255" s="210"/>
      <c r="G255" s="214">
        <f t="shared" si="41"/>
        <v>1210</v>
      </c>
      <c r="H255" s="214">
        <f t="shared" si="41"/>
        <v>1210</v>
      </c>
      <c r="I255" s="214">
        <f t="shared" si="33"/>
        <v>0</v>
      </c>
      <c r="J255" s="214">
        <f t="shared" si="34"/>
        <v>100</v>
      </c>
      <c r="K255" s="180"/>
      <c r="L255" s="7"/>
      <c r="M255" s="7"/>
    </row>
    <row r="256" spans="1:13" s="5" customFormat="1" ht="11.25" customHeight="1">
      <c r="A256" s="221" t="s">
        <v>126</v>
      </c>
      <c r="B256" s="220" t="s">
        <v>681</v>
      </c>
      <c r="C256" s="213" t="s">
        <v>71</v>
      </c>
      <c r="D256" s="213" t="s">
        <v>70</v>
      </c>
      <c r="E256" s="210">
        <v>300</v>
      </c>
      <c r="F256" s="210"/>
      <c r="G256" s="214">
        <f t="shared" si="41"/>
        <v>1210</v>
      </c>
      <c r="H256" s="214">
        <f t="shared" si="41"/>
        <v>1210</v>
      </c>
      <c r="I256" s="214">
        <f t="shared" si="33"/>
        <v>0</v>
      </c>
      <c r="J256" s="214">
        <f t="shared" si="34"/>
        <v>100</v>
      </c>
      <c r="K256" s="180"/>
      <c r="L256" s="7"/>
      <c r="M256" s="7"/>
    </row>
    <row r="257" spans="1:13" s="5" customFormat="1" ht="22.5">
      <c r="A257" s="221" t="s">
        <v>146</v>
      </c>
      <c r="B257" s="220" t="s">
        <v>681</v>
      </c>
      <c r="C257" s="213" t="s">
        <v>71</v>
      </c>
      <c r="D257" s="213" t="s">
        <v>70</v>
      </c>
      <c r="E257" s="210">
        <v>320</v>
      </c>
      <c r="F257" s="210"/>
      <c r="G257" s="214">
        <f t="shared" si="41"/>
        <v>1210</v>
      </c>
      <c r="H257" s="214">
        <f t="shared" si="41"/>
        <v>1210</v>
      </c>
      <c r="I257" s="214">
        <f t="shared" si="33"/>
        <v>0</v>
      </c>
      <c r="J257" s="214">
        <f t="shared" si="34"/>
        <v>100</v>
      </c>
      <c r="K257" s="180"/>
      <c r="L257" s="7"/>
      <c r="M257" s="7"/>
    </row>
    <row r="258" spans="1:13" s="5" customFormat="1" ht="12.75">
      <c r="A258" s="221" t="s">
        <v>738</v>
      </c>
      <c r="B258" s="220" t="s">
        <v>681</v>
      </c>
      <c r="C258" s="213" t="s">
        <v>71</v>
      </c>
      <c r="D258" s="213" t="s">
        <v>70</v>
      </c>
      <c r="E258" s="210">
        <v>322</v>
      </c>
      <c r="F258" s="210"/>
      <c r="G258" s="214">
        <f t="shared" si="41"/>
        <v>1210</v>
      </c>
      <c r="H258" s="214">
        <f t="shared" si="41"/>
        <v>1210</v>
      </c>
      <c r="I258" s="214">
        <f t="shared" si="33"/>
        <v>0</v>
      </c>
      <c r="J258" s="214">
        <f t="shared" si="34"/>
        <v>100</v>
      </c>
      <c r="K258" s="180"/>
      <c r="L258" s="7"/>
      <c r="M258" s="7"/>
    </row>
    <row r="259" spans="1:13" s="5" customFormat="1" ht="33.75">
      <c r="A259" s="211" t="s">
        <v>173</v>
      </c>
      <c r="B259" s="220" t="s">
        <v>681</v>
      </c>
      <c r="C259" s="213" t="s">
        <v>71</v>
      </c>
      <c r="D259" s="213" t="s">
        <v>70</v>
      </c>
      <c r="E259" s="210">
        <v>322</v>
      </c>
      <c r="F259" s="210">
        <v>726</v>
      </c>
      <c r="G259" s="214">
        <v>1210</v>
      </c>
      <c r="H259" s="214">
        <v>1210</v>
      </c>
      <c r="I259" s="214">
        <f t="shared" si="33"/>
        <v>0</v>
      </c>
      <c r="J259" s="214">
        <f t="shared" si="34"/>
        <v>100</v>
      </c>
      <c r="K259" s="180"/>
      <c r="L259" s="7"/>
      <c r="M259" s="7"/>
    </row>
    <row r="260" spans="1:13" s="5" customFormat="1" ht="34.5" customHeight="1">
      <c r="A260" s="218" t="s">
        <v>682</v>
      </c>
      <c r="B260" s="219" t="s">
        <v>683</v>
      </c>
      <c r="C260" s="213"/>
      <c r="D260" s="213"/>
      <c r="E260" s="210"/>
      <c r="F260" s="210"/>
      <c r="G260" s="208">
        <f aca="true" t="shared" si="42" ref="G260:H265">G261</f>
        <v>201.79999999999998</v>
      </c>
      <c r="H260" s="208">
        <f t="shared" si="42"/>
        <v>201.8</v>
      </c>
      <c r="I260" s="208">
        <f t="shared" si="33"/>
        <v>0</v>
      </c>
      <c r="J260" s="208">
        <f t="shared" si="34"/>
        <v>100.00000000000003</v>
      </c>
      <c r="K260" s="180"/>
      <c r="L260" s="7"/>
      <c r="M260" s="7"/>
    </row>
    <row r="261" spans="1:13" s="5" customFormat="1" ht="12.75">
      <c r="A261" s="207" t="s">
        <v>62</v>
      </c>
      <c r="B261" s="220" t="s">
        <v>683</v>
      </c>
      <c r="C261" s="209" t="s">
        <v>71</v>
      </c>
      <c r="D261" s="209" t="s">
        <v>36</v>
      </c>
      <c r="E261" s="210"/>
      <c r="F261" s="210"/>
      <c r="G261" s="208">
        <f t="shared" si="42"/>
        <v>201.79999999999998</v>
      </c>
      <c r="H261" s="208">
        <f t="shared" si="42"/>
        <v>201.8</v>
      </c>
      <c r="I261" s="208">
        <f t="shared" si="33"/>
        <v>0</v>
      </c>
      <c r="J261" s="208">
        <f t="shared" si="34"/>
        <v>100.00000000000003</v>
      </c>
      <c r="K261" s="7"/>
      <c r="L261" s="7"/>
      <c r="M261" s="7"/>
    </row>
    <row r="262" spans="1:13" s="5" customFormat="1" ht="12.75">
      <c r="A262" s="211" t="s">
        <v>61</v>
      </c>
      <c r="B262" s="220" t="s">
        <v>683</v>
      </c>
      <c r="C262" s="213" t="s">
        <v>71</v>
      </c>
      <c r="D262" s="213" t="s">
        <v>70</v>
      </c>
      <c r="E262" s="210"/>
      <c r="F262" s="210"/>
      <c r="G262" s="214">
        <f t="shared" si="42"/>
        <v>201.79999999999998</v>
      </c>
      <c r="H262" s="214">
        <f t="shared" si="42"/>
        <v>201.8</v>
      </c>
      <c r="I262" s="214">
        <f t="shared" si="33"/>
        <v>0</v>
      </c>
      <c r="J262" s="214">
        <f t="shared" si="34"/>
        <v>100.00000000000003</v>
      </c>
      <c r="K262" s="7"/>
      <c r="L262" s="7"/>
      <c r="M262" s="7"/>
    </row>
    <row r="263" spans="1:13" s="5" customFormat="1" ht="15" customHeight="1">
      <c r="A263" s="215" t="s">
        <v>126</v>
      </c>
      <c r="B263" s="220" t="s">
        <v>683</v>
      </c>
      <c r="C263" s="213" t="s">
        <v>71</v>
      </c>
      <c r="D263" s="213" t="s">
        <v>70</v>
      </c>
      <c r="E263" s="216" t="s">
        <v>127</v>
      </c>
      <c r="F263" s="210"/>
      <c r="G263" s="214">
        <f t="shared" si="42"/>
        <v>201.79999999999998</v>
      </c>
      <c r="H263" s="214">
        <f t="shared" si="42"/>
        <v>201.8</v>
      </c>
      <c r="I263" s="214">
        <f t="shared" si="33"/>
        <v>0</v>
      </c>
      <c r="J263" s="214">
        <f t="shared" si="34"/>
        <v>100.00000000000003</v>
      </c>
      <c r="K263" s="7"/>
      <c r="L263" s="7"/>
      <c r="M263" s="7"/>
    </row>
    <row r="264" spans="1:13" s="5" customFormat="1" ht="22.5">
      <c r="A264" s="215" t="s">
        <v>146</v>
      </c>
      <c r="B264" s="220" t="s">
        <v>683</v>
      </c>
      <c r="C264" s="213" t="s">
        <v>71</v>
      </c>
      <c r="D264" s="213" t="s">
        <v>70</v>
      </c>
      <c r="E264" s="216" t="s">
        <v>145</v>
      </c>
      <c r="F264" s="210"/>
      <c r="G264" s="214">
        <f t="shared" si="42"/>
        <v>201.79999999999998</v>
      </c>
      <c r="H264" s="214">
        <f t="shared" si="42"/>
        <v>201.8</v>
      </c>
      <c r="I264" s="214">
        <f t="shared" si="33"/>
        <v>0</v>
      </c>
      <c r="J264" s="214">
        <f t="shared" si="34"/>
        <v>100.00000000000003</v>
      </c>
      <c r="K264" s="7"/>
      <c r="L264" s="7"/>
      <c r="M264" s="7"/>
    </row>
    <row r="265" spans="1:13" s="5" customFormat="1" ht="12.75">
      <c r="A265" s="221" t="s">
        <v>738</v>
      </c>
      <c r="B265" s="220" t="s">
        <v>683</v>
      </c>
      <c r="C265" s="213" t="s">
        <v>71</v>
      </c>
      <c r="D265" s="213" t="s">
        <v>70</v>
      </c>
      <c r="E265" s="216" t="s">
        <v>739</v>
      </c>
      <c r="F265" s="210"/>
      <c r="G265" s="214">
        <f t="shared" si="42"/>
        <v>201.79999999999998</v>
      </c>
      <c r="H265" s="214">
        <f t="shared" si="42"/>
        <v>201.8</v>
      </c>
      <c r="I265" s="214">
        <f aca="true" t="shared" si="43" ref="I265:I328">G265-H265</f>
        <v>0</v>
      </c>
      <c r="J265" s="214">
        <f t="shared" si="34"/>
        <v>100.00000000000003</v>
      </c>
      <c r="K265" s="7"/>
      <c r="L265" s="7"/>
      <c r="M265" s="7"/>
    </row>
    <row r="266" spans="1:13" s="5" customFormat="1" ht="33.75">
      <c r="A266" s="211" t="s">
        <v>173</v>
      </c>
      <c r="B266" s="220" t="s">
        <v>683</v>
      </c>
      <c r="C266" s="213" t="s">
        <v>71</v>
      </c>
      <c r="D266" s="213" t="s">
        <v>70</v>
      </c>
      <c r="E266" s="216" t="s">
        <v>739</v>
      </c>
      <c r="F266" s="210">
        <v>726</v>
      </c>
      <c r="G266" s="214">
        <f>201.7+0.1</f>
        <v>201.79999999999998</v>
      </c>
      <c r="H266" s="214">
        <v>201.8</v>
      </c>
      <c r="I266" s="214">
        <f t="shared" si="43"/>
        <v>0</v>
      </c>
      <c r="J266" s="214">
        <f t="shared" si="34"/>
        <v>100.00000000000003</v>
      </c>
      <c r="K266" s="7"/>
      <c r="L266" s="7"/>
      <c r="M266" s="7"/>
    </row>
    <row r="267" spans="1:13" s="5" customFormat="1" ht="21">
      <c r="A267" s="207" t="s">
        <v>208</v>
      </c>
      <c r="B267" s="202" t="s">
        <v>210</v>
      </c>
      <c r="C267" s="212"/>
      <c r="D267" s="212"/>
      <c r="E267" s="210"/>
      <c r="F267" s="210"/>
      <c r="G267" s="208">
        <f>G268+G283+G290</f>
        <v>2307</v>
      </c>
      <c r="H267" s="208">
        <f>H268+H283+H290</f>
        <v>2307</v>
      </c>
      <c r="I267" s="208">
        <f t="shared" si="43"/>
        <v>0</v>
      </c>
      <c r="J267" s="208">
        <f t="shared" si="34"/>
        <v>100</v>
      </c>
      <c r="K267" s="180"/>
      <c r="L267" s="7"/>
      <c r="M267" s="7"/>
    </row>
    <row r="268" spans="1:13" s="5" customFormat="1" ht="31.5">
      <c r="A268" s="207" t="s">
        <v>291</v>
      </c>
      <c r="B268" s="202" t="s">
        <v>468</v>
      </c>
      <c r="C268" s="212"/>
      <c r="D268" s="212"/>
      <c r="E268" s="210"/>
      <c r="F268" s="210"/>
      <c r="G268" s="208">
        <f>G269+G276</f>
        <v>1961.4</v>
      </c>
      <c r="H268" s="208">
        <f>H269+H276</f>
        <v>1961.3999999999999</v>
      </c>
      <c r="I268" s="208">
        <f t="shared" si="43"/>
        <v>0</v>
      </c>
      <c r="J268" s="208">
        <f t="shared" si="34"/>
        <v>99.99999999999999</v>
      </c>
      <c r="K268" s="180"/>
      <c r="L268" s="7"/>
      <c r="M268" s="7"/>
    </row>
    <row r="269" spans="1:13" s="5" customFormat="1" ht="21">
      <c r="A269" s="207" t="s">
        <v>209</v>
      </c>
      <c r="B269" s="202" t="s">
        <v>469</v>
      </c>
      <c r="C269" s="212"/>
      <c r="D269" s="212"/>
      <c r="E269" s="210"/>
      <c r="F269" s="210"/>
      <c r="G269" s="208">
        <f aca="true" t="shared" si="44" ref="G269:H274">G270</f>
        <v>1948.1000000000001</v>
      </c>
      <c r="H269" s="208">
        <f t="shared" si="44"/>
        <v>1948.1</v>
      </c>
      <c r="I269" s="208">
        <f t="shared" si="43"/>
        <v>0</v>
      </c>
      <c r="J269" s="208">
        <f t="shared" si="34"/>
        <v>99.99999999999999</v>
      </c>
      <c r="K269" s="180"/>
      <c r="L269" s="7"/>
      <c r="M269" s="7"/>
    </row>
    <row r="270" spans="1:13" s="5" customFormat="1" ht="12.75">
      <c r="A270" s="207" t="s">
        <v>8</v>
      </c>
      <c r="B270" s="202" t="s">
        <v>469</v>
      </c>
      <c r="C270" s="209" t="s">
        <v>69</v>
      </c>
      <c r="D270" s="209" t="s">
        <v>36</v>
      </c>
      <c r="E270" s="210"/>
      <c r="F270" s="210"/>
      <c r="G270" s="208">
        <f t="shared" si="44"/>
        <v>1948.1000000000001</v>
      </c>
      <c r="H270" s="208">
        <f t="shared" si="44"/>
        <v>1948.1</v>
      </c>
      <c r="I270" s="208">
        <f t="shared" si="43"/>
        <v>0</v>
      </c>
      <c r="J270" s="208">
        <f aca="true" t="shared" si="45" ref="J270:J333">H270/G270*100</f>
        <v>99.99999999999999</v>
      </c>
      <c r="K270" s="7"/>
      <c r="L270" s="7"/>
      <c r="M270" s="7"/>
    </row>
    <row r="271" spans="1:13" s="5" customFormat="1" ht="12.75">
      <c r="A271" s="228" t="s">
        <v>876</v>
      </c>
      <c r="B271" s="212" t="s">
        <v>469</v>
      </c>
      <c r="C271" s="213" t="s">
        <v>69</v>
      </c>
      <c r="D271" s="213" t="s">
        <v>69</v>
      </c>
      <c r="E271" s="210"/>
      <c r="F271" s="210"/>
      <c r="G271" s="214">
        <f t="shared" si="44"/>
        <v>1948.1000000000001</v>
      </c>
      <c r="H271" s="214">
        <f t="shared" si="44"/>
        <v>1948.1</v>
      </c>
      <c r="I271" s="214">
        <f t="shared" si="43"/>
        <v>0</v>
      </c>
      <c r="J271" s="214">
        <f t="shared" si="45"/>
        <v>99.99999999999999</v>
      </c>
      <c r="K271" s="7"/>
      <c r="L271" s="7"/>
      <c r="M271" s="7"/>
    </row>
    <row r="272" spans="1:13" s="5" customFormat="1" ht="24" customHeight="1">
      <c r="A272" s="215" t="s">
        <v>114</v>
      </c>
      <c r="B272" s="212" t="s">
        <v>469</v>
      </c>
      <c r="C272" s="213" t="s">
        <v>69</v>
      </c>
      <c r="D272" s="213" t="s">
        <v>69</v>
      </c>
      <c r="E272" s="216" t="s">
        <v>115</v>
      </c>
      <c r="F272" s="210"/>
      <c r="G272" s="214">
        <f t="shared" si="44"/>
        <v>1948.1000000000001</v>
      </c>
      <c r="H272" s="214">
        <f t="shared" si="44"/>
        <v>1948.1</v>
      </c>
      <c r="I272" s="214">
        <f t="shared" si="43"/>
        <v>0</v>
      </c>
      <c r="J272" s="214">
        <f t="shared" si="45"/>
        <v>99.99999999999999</v>
      </c>
      <c r="K272" s="7"/>
      <c r="L272" s="7"/>
      <c r="M272" s="7"/>
    </row>
    <row r="273" spans="1:13" s="5" customFormat="1" ht="12.75">
      <c r="A273" s="215" t="s">
        <v>120</v>
      </c>
      <c r="B273" s="212" t="s">
        <v>469</v>
      </c>
      <c r="C273" s="213" t="s">
        <v>69</v>
      </c>
      <c r="D273" s="213" t="s">
        <v>69</v>
      </c>
      <c r="E273" s="216" t="s">
        <v>121</v>
      </c>
      <c r="F273" s="210"/>
      <c r="G273" s="214">
        <f t="shared" si="44"/>
        <v>1948.1000000000001</v>
      </c>
      <c r="H273" s="214">
        <f t="shared" si="44"/>
        <v>1948.1</v>
      </c>
      <c r="I273" s="214">
        <f t="shared" si="43"/>
        <v>0</v>
      </c>
      <c r="J273" s="214">
        <f t="shared" si="45"/>
        <v>99.99999999999999</v>
      </c>
      <c r="K273" s="7"/>
      <c r="L273" s="7"/>
      <c r="M273" s="7"/>
    </row>
    <row r="274" spans="1:13" s="5" customFormat="1" ht="12.75">
      <c r="A274" s="215" t="s">
        <v>124</v>
      </c>
      <c r="B274" s="212" t="s">
        <v>469</v>
      </c>
      <c r="C274" s="213" t="s">
        <v>69</v>
      </c>
      <c r="D274" s="213" t="s">
        <v>69</v>
      </c>
      <c r="E274" s="216" t="s">
        <v>125</v>
      </c>
      <c r="F274" s="210"/>
      <c r="G274" s="214">
        <f t="shared" si="44"/>
        <v>1948.1000000000001</v>
      </c>
      <c r="H274" s="214">
        <f t="shared" si="44"/>
        <v>1948.1</v>
      </c>
      <c r="I274" s="214">
        <f t="shared" si="43"/>
        <v>0</v>
      </c>
      <c r="J274" s="214">
        <f t="shared" si="45"/>
        <v>99.99999999999999</v>
      </c>
      <c r="K274" s="7"/>
      <c r="L274" s="7"/>
      <c r="M274" s="7"/>
    </row>
    <row r="275" spans="1:13" s="5" customFormat="1" ht="22.5">
      <c r="A275" s="211" t="s">
        <v>172</v>
      </c>
      <c r="B275" s="212" t="s">
        <v>469</v>
      </c>
      <c r="C275" s="213" t="s">
        <v>69</v>
      </c>
      <c r="D275" s="213" t="s">
        <v>69</v>
      </c>
      <c r="E275" s="216" t="s">
        <v>125</v>
      </c>
      <c r="F275" s="210">
        <v>725</v>
      </c>
      <c r="G275" s="214">
        <f>657.6+530.3+364.9+443.6+538.2+238.7-825.2</f>
        <v>1948.1000000000001</v>
      </c>
      <c r="H275" s="214">
        <v>1948.1</v>
      </c>
      <c r="I275" s="214">
        <f t="shared" si="43"/>
        <v>0</v>
      </c>
      <c r="J275" s="214">
        <f t="shared" si="45"/>
        <v>99.99999999999999</v>
      </c>
      <c r="K275" s="7"/>
      <c r="L275" s="7"/>
      <c r="M275" s="7"/>
    </row>
    <row r="276" spans="1:13" s="5" customFormat="1" ht="42">
      <c r="A276" s="207" t="s">
        <v>214</v>
      </c>
      <c r="B276" s="202" t="s">
        <v>470</v>
      </c>
      <c r="C276" s="209"/>
      <c r="D276" s="209"/>
      <c r="E276" s="217"/>
      <c r="F276" s="201"/>
      <c r="G276" s="208">
        <f aca="true" t="shared" si="46" ref="G276:H281">G277</f>
        <v>13.3</v>
      </c>
      <c r="H276" s="208">
        <f t="shared" si="46"/>
        <v>13.3</v>
      </c>
      <c r="I276" s="208">
        <f t="shared" si="43"/>
        <v>0</v>
      </c>
      <c r="J276" s="208">
        <f t="shared" si="45"/>
        <v>100</v>
      </c>
      <c r="K276" s="7"/>
      <c r="L276" s="7"/>
      <c r="M276" s="7"/>
    </row>
    <row r="277" spans="1:13" s="5" customFormat="1" ht="12.75">
      <c r="A277" s="207" t="s">
        <v>8</v>
      </c>
      <c r="B277" s="202" t="s">
        <v>470</v>
      </c>
      <c r="C277" s="209" t="s">
        <v>69</v>
      </c>
      <c r="D277" s="209" t="s">
        <v>36</v>
      </c>
      <c r="E277" s="216"/>
      <c r="F277" s="210"/>
      <c r="G277" s="208">
        <f t="shared" si="46"/>
        <v>13.3</v>
      </c>
      <c r="H277" s="208">
        <f t="shared" si="46"/>
        <v>13.3</v>
      </c>
      <c r="I277" s="208">
        <f t="shared" si="43"/>
        <v>0</v>
      </c>
      <c r="J277" s="208">
        <f t="shared" si="45"/>
        <v>100</v>
      </c>
      <c r="K277" s="7"/>
      <c r="L277" s="7"/>
      <c r="M277" s="7"/>
    </row>
    <row r="278" spans="1:13" s="5" customFormat="1" ht="12.75">
      <c r="A278" s="228" t="s">
        <v>876</v>
      </c>
      <c r="B278" s="212" t="s">
        <v>470</v>
      </c>
      <c r="C278" s="213" t="s">
        <v>69</v>
      </c>
      <c r="D278" s="213" t="s">
        <v>69</v>
      </c>
      <c r="E278" s="216"/>
      <c r="F278" s="210"/>
      <c r="G278" s="214">
        <f t="shared" si="46"/>
        <v>13.3</v>
      </c>
      <c r="H278" s="214">
        <f t="shared" si="46"/>
        <v>13.3</v>
      </c>
      <c r="I278" s="214">
        <f t="shared" si="43"/>
        <v>0</v>
      </c>
      <c r="J278" s="214">
        <f t="shared" si="45"/>
        <v>100</v>
      </c>
      <c r="K278" s="7"/>
      <c r="L278" s="7"/>
      <c r="M278" s="7"/>
    </row>
    <row r="279" spans="1:13" s="5" customFormat="1" ht="24" customHeight="1">
      <c r="A279" s="215" t="s">
        <v>114</v>
      </c>
      <c r="B279" s="212" t="s">
        <v>470</v>
      </c>
      <c r="C279" s="213" t="s">
        <v>69</v>
      </c>
      <c r="D279" s="213" t="s">
        <v>69</v>
      </c>
      <c r="E279" s="216" t="s">
        <v>115</v>
      </c>
      <c r="F279" s="210"/>
      <c r="G279" s="214">
        <f t="shared" si="46"/>
        <v>13.3</v>
      </c>
      <c r="H279" s="214">
        <f t="shared" si="46"/>
        <v>13.3</v>
      </c>
      <c r="I279" s="214">
        <f t="shared" si="43"/>
        <v>0</v>
      </c>
      <c r="J279" s="214">
        <f t="shared" si="45"/>
        <v>100</v>
      </c>
      <c r="K279" s="7"/>
      <c r="L279" s="7"/>
      <c r="M279" s="7"/>
    </row>
    <row r="280" spans="1:13" s="5" customFormat="1" ht="12.75">
      <c r="A280" s="215" t="s">
        <v>120</v>
      </c>
      <c r="B280" s="212" t="s">
        <v>470</v>
      </c>
      <c r="C280" s="213" t="s">
        <v>69</v>
      </c>
      <c r="D280" s="213" t="s">
        <v>69</v>
      </c>
      <c r="E280" s="216" t="s">
        <v>121</v>
      </c>
      <c r="F280" s="210"/>
      <c r="G280" s="214">
        <f t="shared" si="46"/>
        <v>13.3</v>
      </c>
      <c r="H280" s="214">
        <f t="shared" si="46"/>
        <v>13.3</v>
      </c>
      <c r="I280" s="214">
        <f t="shared" si="43"/>
        <v>0</v>
      </c>
      <c r="J280" s="214">
        <f t="shared" si="45"/>
        <v>100</v>
      </c>
      <c r="K280" s="7"/>
      <c r="L280" s="7"/>
      <c r="M280" s="7"/>
    </row>
    <row r="281" spans="1:13" s="5" customFormat="1" ht="12.75">
      <c r="A281" s="215" t="s">
        <v>124</v>
      </c>
      <c r="B281" s="212" t="s">
        <v>470</v>
      </c>
      <c r="C281" s="213" t="s">
        <v>69</v>
      </c>
      <c r="D281" s="213" t="s">
        <v>69</v>
      </c>
      <c r="E281" s="216" t="s">
        <v>125</v>
      </c>
      <c r="F281" s="210"/>
      <c r="G281" s="214">
        <f t="shared" si="46"/>
        <v>13.3</v>
      </c>
      <c r="H281" s="214">
        <f t="shared" si="46"/>
        <v>13.3</v>
      </c>
      <c r="I281" s="214">
        <f t="shared" si="43"/>
        <v>0</v>
      </c>
      <c r="J281" s="214">
        <f t="shared" si="45"/>
        <v>100</v>
      </c>
      <c r="K281" s="7"/>
      <c r="L281" s="7"/>
      <c r="M281" s="7"/>
    </row>
    <row r="282" spans="1:13" s="5" customFormat="1" ht="22.5">
      <c r="A282" s="211" t="s">
        <v>172</v>
      </c>
      <c r="B282" s="212" t="s">
        <v>470</v>
      </c>
      <c r="C282" s="213" t="s">
        <v>69</v>
      </c>
      <c r="D282" s="213" t="s">
        <v>69</v>
      </c>
      <c r="E282" s="216" t="s">
        <v>125</v>
      </c>
      <c r="F282" s="210">
        <v>725</v>
      </c>
      <c r="G282" s="214">
        <f>19.8-6.5</f>
        <v>13.3</v>
      </c>
      <c r="H282" s="214">
        <v>13.3</v>
      </c>
      <c r="I282" s="214">
        <f t="shared" si="43"/>
        <v>0</v>
      </c>
      <c r="J282" s="214">
        <f t="shared" si="45"/>
        <v>100</v>
      </c>
      <c r="K282" s="7"/>
      <c r="L282" s="7"/>
      <c r="M282" s="7"/>
    </row>
    <row r="283" spans="1:13" s="5" customFormat="1" ht="12.75">
      <c r="A283" s="207" t="s">
        <v>211</v>
      </c>
      <c r="B283" s="202" t="s">
        <v>471</v>
      </c>
      <c r="C283" s="209"/>
      <c r="D283" s="209"/>
      <c r="E283" s="217"/>
      <c r="F283" s="201"/>
      <c r="G283" s="208">
        <f aca="true" t="shared" si="47" ref="G283:H288">G284</f>
        <v>239.09999999999997</v>
      </c>
      <c r="H283" s="208">
        <f t="shared" si="47"/>
        <v>239.1</v>
      </c>
      <c r="I283" s="208">
        <f t="shared" si="43"/>
        <v>0</v>
      </c>
      <c r="J283" s="208">
        <f t="shared" si="45"/>
        <v>100.00000000000003</v>
      </c>
      <c r="K283" s="7"/>
      <c r="L283" s="7"/>
      <c r="M283" s="7"/>
    </row>
    <row r="284" spans="1:13" s="5" customFormat="1" ht="12.75">
      <c r="A284" s="207" t="s">
        <v>8</v>
      </c>
      <c r="B284" s="202" t="s">
        <v>471</v>
      </c>
      <c r="C284" s="209" t="s">
        <v>69</v>
      </c>
      <c r="D284" s="209" t="s">
        <v>36</v>
      </c>
      <c r="E284" s="216"/>
      <c r="F284" s="210"/>
      <c r="G284" s="208">
        <f t="shared" si="47"/>
        <v>239.09999999999997</v>
      </c>
      <c r="H284" s="208">
        <f t="shared" si="47"/>
        <v>239.1</v>
      </c>
      <c r="I284" s="208">
        <f t="shared" si="43"/>
        <v>0</v>
      </c>
      <c r="J284" s="208">
        <f t="shared" si="45"/>
        <v>100.00000000000003</v>
      </c>
      <c r="K284" s="7"/>
      <c r="L284" s="7"/>
      <c r="M284" s="7"/>
    </row>
    <row r="285" spans="1:13" s="5" customFormat="1" ht="12.75">
      <c r="A285" s="228" t="s">
        <v>876</v>
      </c>
      <c r="B285" s="212" t="s">
        <v>471</v>
      </c>
      <c r="C285" s="213" t="s">
        <v>69</v>
      </c>
      <c r="D285" s="213" t="s">
        <v>69</v>
      </c>
      <c r="E285" s="216"/>
      <c r="F285" s="210"/>
      <c r="G285" s="214">
        <f t="shared" si="47"/>
        <v>239.09999999999997</v>
      </c>
      <c r="H285" s="214">
        <f t="shared" si="47"/>
        <v>239.1</v>
      </c>
      <c r="I285" s="214">
        <f t="shared" si="43"/>
        <v>0</v>
      </c>
      <c r="J285" s="214">
        <f t="shared" si="45"/>
        <v>100.00000000000003</v>
      </c>
      <c r="K285" s="7"/>
      <c r="L285" s="7"/>
      <c r="M285" s="7"/>
    </row>
    <row r="286" spans="1:13" s="5" customFormat="1" ht="22.5" customHeight="1">
      <c r="A286" s="215" t="s">
        <v>114</v>
      </c>
      <c r="B286" s="212" t="s">
        <v>471</v>
      </c>
      <c r="C286" s="213" t="s">
        <v>69</v>
      </c>
      <c r="D286" s="213" t="s">
        <v>69</v>
      </c>
      <c r="E286" s="216" t="s">
        <v>115</v>
      </c>
      <c r="F286" s="210"/>
      <c r="G286" s="214">
        <f t="shared" si="47"/>
        <v>239.09999999999997</v>
      </c>
      <c r="H286" s="214">
        <f t="shared" si="47"/>
        <v>239.1</v>
      </c>
      <c r="I286" s="214">
        <f t="shared" si="43"/>
        <v>0</v>
      </c>
      <c r="J286" s="214">
        <f t="shared" si="45"/>
        <v>100.00000000000003</v>
      </c>
      <c r="K286" s="7"/>
      <c r="L286" s="7"/>
      <c r="M286" s="7"/>
    </row>
    <row r="287" spans="1:13" s="5" customFormat="1" ht="12.75">
      <c r="A287" s="215" t="s">
        <v>120</v>
      </c>
      <c r="B287" s="212" t="s">
        <v>471</v>
      </c>
      <c r="C287" s="213" t="s">
        <v>69</v>
      </c>
      <c r="D287" s="213" t="s">
        <v>69</v>
      </c>
      <c r="E287" s="216" t="s">
        <v>121</v>
      </c>
      <c r="F287" s="210"/>
      <c r="G287" s="214">
        <f t="shared" si="47"/>
        <v>239.09999999999997</v>
      </c>
      <c r="H287" s="214">
        <f t="shared" si="47"/>
        <v>239.1</v>
      </c>
      <c r="I287" s="214">
        <f t="shared" si="43"/>
        <v>0</v>
      </c>
      <c r="J287" s="214">
        <f t="shared" si="45"/>
        <v>100.00000000000003</v>
      </c>
      <c r="K287" s="7"/>
      <c r="L287" s="7"/>
      <c r="M287" s="7"/>
    </row>
    <row r="288" spans="1:13" s="5" customFormat="1" ht="12.75">
      <c r="A288" s="215" t="s">
        <v>124</v>
      </c>
      <c r="B288" s="212" t="s">
        <v>471</v>
      </c>
      <c r="C288" s="213" t="s">
        <v>69</v>
      </c>
      <c r="D288" s="213" t="s">
        <v>69</v>
      </c>
      <c r="E288" s="216" t="s">
        <v>125</v>
      </c>
      <c r="F288" s="210"/>
      <c r="G288" s="214">
        <f t="shared" si="47"/>
        <v>239.09999999999997</v>
      </c>
      <c r="H288" s="214">
        <f t="shared" si="47"/>
        <v>239.1</v>
      </c>
      <c r="I288" s="214">
        <f t="shared" si="43"/>
        <v>0</v>
      </c>
      <c r="J288" s="214">
        <f t="shared" si="45"/>
        <v>100.00000000000003</v>
      </c>
      <c r="K288" s="7"/>
      <c r="L288" s="7"/>
      <c r="M288" s="7"/>
    </row>
    <row r="289" spans="1:13" s="5" customFormat="1" ht="22.5">
      <c r="A289" s="211" t="s">
        <v>172</v>
      </c>
      <c r="B289" s="212" t="s">
        <v>471</v>
      </c>
      <c r="C289" s="213" t="s">
        <v>69</v>
      </c>
      <c r="D289" s="213" t="s">
        <v>69</v>
      </c>
      <c r="E289" s="216" t="s">
        <v>125</v>
      </c>
      <c r="F289" s="210">
        <v>725</v>
      </c>
      <c r="G289" s="214">
        <f>2.6+1.9+1.7+2.3+56.4+87.3+38.5+29.7+18.7</f>
        <v>239.09999999999997</v>
      </c>
      <c r="H289" s="214">
        <v>239.1</v>
      </c>
      <c r="I289" s="214">
        <f t="shared" si="43"/>
        <v>0</v>
      </c>
      <c r="J289" s="214">
        <f t="shared" si="45"/>
        <v>100.00000000000003</v>
      </c>
      <c r="K289" s="7"/>
      <c r="L289" s="7"/>
      <c r="M289" s="7"/>
    </row>
    <row r="290" spans="1:13" s="5" customFormat="1" ht="45" customHeight="1">
      <c r="A290" s="207" t="s">
        <v>387</v>
      </c>
      <c r="B290" s="202" t="s">
        <v>472</v>
      </c>
      <c r="C290" s="213"/>
      <c r="D290" s="213"/>
      <c r="E290" s="216"/>
      <c r="F290" s="210"/>
      <c r="G290" s="208">
        <f aca="true" t="shared" si="48" ref="G290:H295">G291</f>
        <v>106.5</v>
      </c>
      <c r="H290" s="208">
        <f t="shared" si="48"/>
        <v>106.5</v>
      </c>
      <c r="I290" s="208">
        <f t="shared" si="43"/>
        <v>0</v>
      </c>
      <c r="J290" s="208">
        <f t="shared" si="45"/>
        <v>100</v>
      </c>
      <c r="K290" s="7"/>
      <c r="L290" s="7"/>
      <c r="M290" s="7"/>
    </row>
    <row r="291" spans="1:13" s="5" customFormat="1" ht="12.75">
      <c r="A291" s="207" t="s">
        <v>8</v>
      </c>
      <c r="B291" s="202" t="s">
        <v>472</v>
      </c>
      <c r="C291" s="209" t="s">
        <v>69</v>
      </c>
      <c r="D291" s="209" t="s">
        <v>36</v>
      </c>
      <c r="E291" s="216"/>
      <c r="F291" s="210"/>
      <c r="G291" s="208">
        <f t="shared" si="48"/>
        <v>106.5</v>
      </c>
      <c r="H291" s="208">
        <f t="shared" si="48"/>
        <v>106.5</v>
      </c>
      <c r="I291" s="208">
        <f t="shared" si="43"/>
        <v>0</v>
      </c>
      <c r="J291" s="208">
        <f t="shared" si="45"/>
        <v>100</v>
      </c>
      <c r="K291" s="7"/>
      <c r="L291" s="7"/>
      <c r="M291" s="7"/>
    </row>
    <row r="292" spans="1:13" s="5" customFormat="1" ht="12.75">
      <c r="A292" s="228" t="s">
        <v>876</v>
      </c>
      <c r="B292" s="212" t="s">
        <v>472</v>
      </c>
      <c r="C292" s="213" t="s">
        <v>69</v>
      </c>
      <c r="D292" s="213" t="s">
        <v>69</v>
      </c>
      <c r="E292" s="216"/>
      <c r="F292" s="210"/>
      <c r="G292" s="214">
        <f t="shared" si="48"/>
        <v>106.5</v>
      </c>
      <c r="H292" s="214">
        <f t="shared" si="48"/>
        <v>106.5</v>
      </c>
      <c r="I292" s="214">
        <f t="shared" si="43"/>
        <v>0</v>
      </c>
      <c r="J292" s="214">
        <f t="shared" si="45"/>
        <v>100</v>
      </c>
      <c r="K292" s="7"/>
      <c r="L292" s="7"/>
      <c r="M292" s="7"/>
    </row>
    <row r="293" spans="1:13" s="5" customFormat="1" ht="25.5" customHeight="1">
      <c r="A293" s="215" t="s">
        <v>114</v>
      </c>
      <c r="B293" s="212" t="s">
        <v>472</v>
      </c>
      <c r="C293" s="213" t="s">
        <v>69</v>
      </c>
      <c r="D293" s="213" t="s">
        <v>69</v>
      </c>
      <c r="E293" s="216" t="s">
        <v>115</v>
      </c>
      <c r="F293" s="210"/>
      <c r="G293" s="214">
        <f t="shared" si="48"/>
        <v>106.5</v>
      </c>
      <c r="H293" s="214">
        <f t="shared" si="48"/>
        <v>106.5</v>
      </c>
      <c r="I293" s="214">
        <f t="shared" si="43"/>
        <v>0</v>
      </c>
      <c r="J293" s="214">
        <f t="shared" si="45"/>
        <v>100</v>
      </c>
      <c r="K293" s="7"/>
      <c r="L293" s="7"/>
      <c r="M293" s="7"/>
    </row>
    <row r="294" spans="1:13" s="5" customFormat="1" ht="12.75">
      <c r="A294" s="215" t="s">
        <v>120</v>
      </c>
      <c r="B294" s="212" t="s">
        <v>472</v>
      </c>
      <c r="C294" s="213" t="s">
        <v>69</v>
      </c>
      <c r="D294" s="213" t="s">
        <v>69</v>
      </c>
      <c r="E294" s="216" t="s">
        <v>121</v>
      </c>
      <c r="F294" s="210"/>
      <c r="G294" s="214">
        <f t="shared" si="48"/>
        <v>106.5</v>
      </c>
      <c r="H294" s="214">
        <f t="shared" si="48"/>
        <v>106.5</v>
      </c>
      <c r="I294" s="214">
        <f t="shared" si="43"/>
        <v>0</v>
      </c>
      <c r="J294" s="214">
        <f t="shared" si="45"/>
        <v>100</v>
      </c>
      <c r="K294" s="7"/>
      <c r="L294" s="7"/>
      <c r="M294" s="7"/>
    </row>
    <row r="295" spans="1:13" s="5" customFormat="1" ht="12.75">
      <c r="A295" s="215" t="s">
        <v>124</v>
      </c>
      <c r="B295" s="212" t="s">
        <v>472</v>
      </c>
      <c r="C295" s="213" t="s">
        <v>69</v>
      </c>
      <c r="D295" s="213" t="s">
        <v>69</v>
      </c>
      <c r="E295" s="216" t="s">
        <v>125</v>
      </c>
      <c r="F295" s="210"/>
      <c r="G295" s="214">
        <f t="shared" si="48"/>
        <v>106.5</v>
      </c>
      <c r="H295" s="214">
        <f t="shared" si="48"/>
        <v>106.5</v>
      </c>
      <c r="I295" s="214">
        <f t="shared" si="43"/>
        <v>0</v>
      </c>
      <c r="J295" s="214">
        <f t="shared" si="45"/>
        <v>100</v>
      </c>
      <c r="K295" s="7"/>
      <c r="L295" s="7"/>
      <c r="M295" s="7"/>
    </row>
    <row r="296" spans="1:13" s="5" customFormat="1" ht="22.5">
      <c r="A296" s="211" t="s">
        <v>172</v>
      </c>
      <c r="B296" s="212" t="s">
        <v>472</v>
      </c>
      <c r="C296" s="213" t="s">
        <v>69</v>
      </c>
      <c r="D296" s="213" t="s">
        <v>69</v>
      </c>
      <c r="E296" s="216" t="s">
        <v>125</v>
      </c>
      <c r="F296" s="210">
        <v>725</v>
      </c>
      <c r="G296" s="214">
        <f>103.7+2.8</f>
        <v>106.5</v>
      </c>
      <c r="H296" s="214">
        <v>106.5</v>
      </c>
      <c r="I296" s="214">
        <f t="shared" si="43"/>
        <v>0</v>
      </c>
      <c r="J296" s="214">
        <f t="shared" si="45"/>
        <v>100</v>
      </c>
      <c r="K296" s="7"/>
      <c r="L296" s="7"/>
      <c r="M296" s="7"/>
    </row>
    <row r="297" spans="1:13" s="183" customFormat="1" ht="45.75" customHeight="1">
      <c r="A297" s="207" t="s">
        <v>357</v>
      </c>
      <c r="B297" s="202" t="s">
        <v>191</v>
      </c>
      <c r="C297" s="213"/>
      <c r="D297" s="213"/>
      <c r="E297" s="210"/>
      <c r="F297" s="210"/>
      <c r="G297" s="208">
        <f>G298</f>
        <v>990.3</v>
      </c>
      <c r="H297" s="208">
        <f>H298</f>
        <v>339</v>
      </c>
      <c r="I297" s="208">
        <f t="shared" si="43"/>
        <v>651.3</v>
      </c>
      <c r="J297" s="208">
        <f t="shared" si="45"/>
        <v>34.232050893668585</v>
      </c>
      <c r="K297" s="182"/>
      <c r="L297" s="27"/>
      <c r="M297" s="27"/>
    </row>
    <row r="298" spans="1:13" s="183" customFormat="1" ht="31.5">
      <c r="A298" s="207" t="s">
        <v>347</v>
      </c>
      <c r="B298" s="202" t="s">
        <v>441</v>
      </c>
      <c r="C298" s="213"/>
      <c r="D298" s="213"/>
      <c r="E298" s="210"/>
      <c r="F298" s="210"/>
      <c r="G298" s="208">
        <f>G299</f>
        <v>990.3</v>
      </c>
      <c r="H298" s="208">
        <f>H299</f>
        <v>339</v>
      </c>
      <c r="I298" s="208">
        <f t="shared" si="43"/>
        <v>651.3</v>
      </c>
      <c r="J298" s="208">
        <f t="shared" si="45"/>
        <v>34.232050893668585</v>
      </c>
      <c r="K298" s="182"/>
      <c r="L298" s="27"/>
      <c r="M298" s="27"/>
    </row>
    <row r="299" spans="1:13" s="185" customFormat="1" ht="24.75" customHeight="1">
      <c r="A299" s="222" t="s">
        <v>755</v>
      </c>
      <c r="B299" s="219" t="s">
        <v>756</v>
      </c>
      <c r="C299" s="209"/>
      <c r="D299" s="209"/>
      <c r="E299" s="217"/>
      <c r="F299" s="201"/>
      <c r="G299" s="208">
        <f aca="true" t="shared" si="49" ref="G299:H304">G300</f>
        <v>990.3</v>
      </c>
      <c r="H299" s="208">
        <f t="shared" si="49"/>
        <v>339</v>
      </c>
      <c r="I299" s="208">
        <f t="shared" si="43"/>
        <v>651.3</v>
      </c>
      <c r="J299" s="208">
        <f t="shared" si="45"/>
        <v>34.232050893668585</v>
      </c>
      <c r="K299" s="184"/>
      <c r="L299" s="184"/>
      <c r="M299" s="184"/>
    </row>
    <row r="300" spans="1:13" s="185" customFormat="1" ht="11.25" customHeight="1">
      <c r="A300" s="218" t="s">
        <v>377</v>
      </c>
      <c r="B300" s="219" t="s">
        <v>756</v>
      </c>
      <c r="C300" s="209" t="s">
        <v>72</v>
      </c>
      <c r="D300" s="209" t="s">
        <v>36</v>
      </c>
      <c r="E300" s="217"/>
      <c r="F300" s="201"/>
      <c r="G300" s="208">
        <f t="shared" si="49"/>
        <v>990.3</v>
      </c>
      <c r="H300" s="208">
        <f t="shared" si="49"/>
        <v>339</v>
      </c>
      <c r="I300" s="208">
        <f t="shared" si="43"/>
        <v>651.3</v>
      </c>
      <c r="J300" s="208">
        <f t="shared" si="45"/>
        <v>34.232050893668585</v>
      </c>
      <c r="K300" s="184"/>
      <c r="L300" s="184"/>
      <c r="M300" s="184"/>
    </row>
    <row r="301" spans="1:13" s="183" customFormat="1" ht="12.75">
      <c r="A301" s="228" t="s">
        <v>161</v>
      </c>
      <c r="B301" s="220" t="s">
        <v>756</v>
      </c>
      <c r="C301" s="213" t="s">
        <v>72</v>
      </c>
      <c r="D301" s="213" t="s">
        <v>66</v>
      </c>
      <c r="E301" s="216"/>
      <c r="F301" s="210"/>
      <c r="G301" s="214">
        <f t="shared" si="49"/>
        <v>990.3</v>
      </c>
      <c r="H301" s="214">
        <f t="shared" si="49"/>
        <v>339</v>
      </c>
      <c r="I301" s="214">
        <f t="shared" si="43"/>
        <v>651.3</v>
      </c>
      <c r="J301" s="214">
        <f t="shared" si="45"/>
        <v>34.232050893668585</v>
      </c>
      <c r="K301" s="27"/>
      <c r="L301" s="27"/>
      <c r="M301" s="27"/>
    </row>
    <row r="302" spans="1:13" s="183" customFormat="1" ht="24" customHeight="1">
      <c r="A302" s="215" t="s">
        <v>770</v>
      </c>
      <c r="B302" s="220" t="s">
        <v>756</v>
      </c>
      <c r="C302" s="213" t="s">
        <v>72</v>
      </c>
      <c r="D302" s="213" t="s">
        <v>66</v>
      </c>
      <c r="E302" s="216" t="s">
        <v>113</v>
      </c>
      <c r="F302" s="210"/>
      <c r="G302" s="214">
        <f t="shared" si="49"/>
        <v>990.3</v>
      </c>
      <c r="H302" s="214">
        <f t="shared" si="49"/>
        <v>339</v>
      </c>
      <c r="I302" s="214">
        <f t="shared" si="43"/>
        <v>651.3</v>
      </c>
      <c r="J302" s="214">
        <f t="shared" si="45"/>
        <v>34.232050893668585</v>
      </c>
      <c r="K302" s="27"/>
      <c r="L302" s="27"/>
      <c r="M302" s="27"/>
    </row>
    <row r="303" spans="1:13" s="183" customFormat="1" ht="12.75" customHeight="1">
      <c r="A303" s="221" t="s">
        <v>106</v>
      </c>
      <c r="B303" s="220" t="s">
        <v>756</v>
      </c>
      <c r="C303" s="213" t="s">
        <v>72</v>
      </c>
      <c r="D303" s="213" t="s">
        <v>66</v>
      </c>
      <c r="E303" s="216" t="s">
        <v>107</v>
      </c>
      <c r="F303" s="210"/>
      <c r="G303" s="214">
        <f t="shared" si="49"/>
        <v>990.3</v>
      </c>
      <c r="H303" s="214">
        <f t="shared" si="49"/>
        <v>339</v>
      </c>
      <c r="I303" s="214">
        <f t="shared" si="43"/>
        <v>651.3</v>
      </c>
      <c r="J303" s="214">
        <f t="shared" si="45"/>
        <v>34.232050893668585</v>
      </c>
      <c r="K303" s="27"/>
      <c r="L303" s="27"/>
      <c r="M303" s="27"/>
    </row>
    <row r="304" spans="1:13" s="183" customFormat="1" ht="24" customHeight="1">
      <c r="A304" s="221" t="s">
        <v>108</v>
      </c>
      <c r="B304" s="220" t="s">
        <v>756</v>
      </c>
      <c r="C304" s="213" t="s">
        <v>72</v>
      </c>
      <c r="D304" s="213" t="s">
        <v>66</v>
      </c>
      <c r="E304" s="216" t="s">
        <v>109</v>
      </c>
      <c r="F304" s="210"/>
      <c r="G304" s="214">
        <f t="shared" si="49"/>
        <v>990.3</v>
      </c>
      <c r="H304" s="214">
        <f t="shared" si="49"/>
        <v>339</v>
      </c>
      <c r="I304" s="214">
        <f t="shared" si="43"/>
        <v>651.3</v>
      </c>
      <c r="J304" s="214">
        <f t="shared" si="45"/>
        <v>34.232050893668585</v>
      </c>
      <c r="K304" s="27"/>
      <c r="L304" s="27"/>
      <c r="M304" s="27"/>
    </row>
    <row r="305" spans="1:13" s="183" customFormat="1" ht="24" customHeight="1">
      <c r="A305" s="215" t="s">
        <v>587</v>
      </c>
      <c r="B305" s="220" t="s">
        <v>756</v>
      </c>
      <c r="C305" s="213" t="s">
        <v>72</v>
      </c>
      <c r="D305" s="213" t="s">
        <v>66</v>
      </c>
      <c r="E305" s="216" t="s">
        <v>109</v>
      </c>
      <c r="F305" s="210">
        <v>727</v>
      </c>
      <c r="G305" s="214">
        <f>990.3</f>
        <v>990.3</v>
      </c>
      <c r="H305" s="214">
        <v>339</v>
      </c>
      <c r="I305" s="214">
        <f t="shared" si="43"/>
        <v>651.3</v>
      </c>
      <c r="J305" s="214">
        <f t="shared" si="45"/>
        <v>34.232050893668585</v>
      </c>
      <c r="K305" s="27"/>
      <c r="L305" s="27"/>
      <c r="M305" s="27"/>
    </row>
    <row r="306" spans="1:13" s="5" customFormat="1" ht="31.5">
      <c r="A306" s="207" t="s">
        <v>360</v>
      </c>
      <c r="B306" s="202" t="s">
        <v>203</v>
      </c>
      <c r="C306" s="213"/>
      <c r="D306" s="213"/>
      <c r="E306" s="210"/>
      <c r="F306" s="210"/>
      <c r="G306" s="208">
        <f>G307</f>
        <v>3058.1</v>
      </c>
      <c r="H306" s="208">
        <f>H307</f>
        <v>2520.5</v>
      </c>
      <c r="I306" s="208">
        <f t="shared" si="43"/>
        <v>537.5999999999999</v>
      </c>
      <c r="J306" s="208">
        <f t="shared" si="45"/>
        <v>82.42045714659429</v>
      </c>
      <c r="K306" s="180"/>
      <c r="L306" s="7"/>
      <c r="M306" s="7"/>
    </row>
    <row r="307" spans="1:13" s="5" customFormat="1" ht="42">
      <c r="A307" s="207" t="s">
        <v>354</v>
      </c>
      <c r="B307" s="202" t="s">
        <v>451</v>
      </c>
      <c r="C307" s="213"/>
      <c r="D307" s="213"/>
      <c r="E307" s="210"/>
      <c r="F307" s="210"/>
      <c r="G307" s="208">
        <f>G315+G327+G334+G308</f>
        <v>3058.1</v>
      </c>
      <c r="H307" s="208">
        <f>H315+H327+H334+H308</f>
        <v>2520.5</v>
      </c>
      <c r="I307" s="208">
        <f t="shared" si="43"/>
        <v>537.5999999999999</v>
      </c>
      <c r="J307" s="208">
        <f t="shared" si="45"/>
        <v>82.42045714659429</v>
      </c>
      <c r="K307" s="180"/>
      <c r="L307" s="7"/>
      <c r="M307" s="7"/>
    </row>
    <row r="308" spans="1:13" s="113" customFormat="1" ht="44.25" customHeight="1">
      <c r="A308" s="218" t="s">
        <v>744</v>
      </c>
      <c r="B308" s="219" t="s">
        <v>680</v>
      </c>
      <c r="C308" s="209"/>
      <c r="D308" s="209"/>
      <c r="E308" s="201"/>
      <c r="F308" s="201"/>
      <c r="G308" s="208">
        <f aca="true" t="shared" si="50" ref="G308:H313">G309</f>
        <v>773</v>
      </c>
      <c r="H308" s="208">
        <f t="shared" si="50"/>
        <v>303.6</v>
      </c>
      <c r="I308" s="208">
        <f t="shared" si="43"/>
        <v>469.4</v>
      </c>
      <c r="J308" s="208">
        <f t="shared" si="45"/>
        <v>39.275549805950845</v>
      </c>
      <c r="K308" s="181"/>
      <c r="L308" s="58"/>
      <c r="M308" s="58"/>
    </row>
    <row r="309" spans="1:13" s="113" customFormat="1" ht="12" customHeight="1">
      <c r="A309" s="207" t="s">
        <v>8</v>
      </c>
      <c r="B309" s="219" t="s">
        <v>680</v>
      </c>
      <c r="C309" s="209" t="s">
        <v>69</v>
      </c>
      <c r="D309" s="209" t="s">
        <v>36</v>
      </c>
      <c r="E309" s="201"/>
      <c r="F309" s="201"/>
      <c r="G309" s="208">
        <f t="shared" si="50"/>
        <v>773</v>
      </c>
      <c r="H309" s="208">
        <f t="shared" si="50"/>
        <v>303.6</v>
      </c>
      <c r="I309" s="208">
        <f t="shared" si="43"/>
        <v>469.4</v>
      </c>
      <c r="J309" s="208">
        <f t="shared" si="45"/>
        <v>39.275549805950845</v>
      </c>
      <c r="K309" s="181"/>
      <c r="L309" s="58"/>
      <c r="M309" s="58"/>
    </row>
    <row r="310" spans="1:13" s="113" customFormat="1" ht="15" customHeight="1">
      <c r="A310" s="211" t="s">
        <v>875</v>
      </c>
      <c r="B310" s="220" t="s">
        <v>680</v>
      </c>
      <c r="C310" s="213" t="s">
        <v>69</v>
      </c>
      <c r="D310" s="213" t="s">
        <v>67</v>
      </c>
      <c r="E310" s="201"/>
      <c r="F310" s="201"/>
      <c r="G310" s="214">
        <f t="shared" si="50"/>
        <v>773</v>
      </c>
      <c r="H310" s="214">
        <f t="shared" si="50"/>
        <v>303.6</v>
      </c>
      <c r="I310" s="214">
        <f t="shared" si="43"/>
        <v>469.4</v>
      </c>
      <c r="J310" s="214">
        <f t="shared" si="45"/>
        <v>39.275549805950845</v>
      </c>
      <c r="K310" s="181"/>
      <c r="L310" s="58"/>
      <c r="M310" s="58"/>
    </row>
    <row r="311" spans="1:13" s="5" customFormat="1" ht="24.75" customHeight="1">
      <c r="A311" s="221" t="s">
        <v>114</v>
      </c>
      <c r="B311" s="220" t="s">
        <v>680</v>
      </c>
      <c r="C311" s="213" t="s">
        <v>69</v>
      </c>
      <c r="D311" s="213" t="s">
        <v>67</v>
      </c>
      <c r="E311" s="210">
        <v>600</v>
      </c>
      <c r="F311" s="210"/>
      <c r="G311" s="214">
        <f t="shared" si="50"/>
        <v>773</v>
      </c>
      <c r="H311" s="214">
        <f t="shared" si="50"/>
        <v>303.6</v>
      </c>
      <c r="I311" s="214">
        <f t="shared" si="43"/>
        <v>469.4</v>
      </c>
      <c r="J311" s="214">
        <f t="shared" si="45"/>
        <v>39.275549805950845</v>
      </c>
      <c r="K311" s="180"/>
      <c r="L311" s="7"/>
      <c r="M311" s="7"/>
    </row>
    <row r="312" spans="1:13" s="5" customFormat="1" ht="12.75">
      <c r="A312" s="221" t="s">
        <v>120</v>
      </c>
      <c r="B312" s="220" t="s">
        <v>680</v>
      </c>
      <c r="C312" s="213" t="s">
        <v>69</v>
      </c>
      <c r="D312" s="213" t="s">
        <v>67</v>
      </c>
      <c r="E312" s="210">
        <v>610</v>
      </c>
      <c r="F312" s="210"/>
      <c r="G312" s="214">
        <f t="shared" si="50"/>
        <v>773</v>
      </c>
      <c r="H312" s="214">
        <f t="shared" si="50"/>
        <v>303.6</v>
      </c>
      <c r="I312" s="214">
        <f t="shared" si="43"/>
        <v>469.4</v>
      </c>
      <c r="J312" s="214">
        <f t="shared" si="45"/>
        <v>39.275549805950845</v>
      </c>
      <c r="K312" s="180"/>
      <c r="L312" s="7"/>
      <c r="M312" s="7"/>
    </row>
    <row r="313" spans="1:13" s="5" customFormat="1" ht="12.75">
      <c r="A313" s="221" t="s">
        <v>124</v>
      </c>
      <c r="B313" s="220" t="s">
        <v>680</v>
      </c>
      <c r="C313" s="213" t="s">
        <v>69</v>
      </c>
      <c r="D313" s="213" t="s">
        <v>67</v>
      </c>
      <c r="E313" s="210">
        <v>612</v>
      </c>
      <c r="F313" s="210"/>
      <c r="G313" s="214">
        <f t="shared" si="50"/>
        <v>773</v>
      </c>
      <c r="H313" s="214">
        <f t="shared" si="50"/>
        <v>303.6</v>
      </c>
      <c r="I313" s="214">
        <f t="shared" si="43"/>
        <v>469.4</v>
      </c>
      <c r="J313" s="214">
        <f t="shared" si="45"/>
        <v>39.275549805950845</v>
      </c>
      <c r="K313" s="180"/>
      <c r="L313" s="7"/>
      <c r="M313" s="7"/>
    </row>
    <row r="314" spans="1:13" s="5" customFormat="1" ht="22.5">
      <c r="A314" s="211" t="s">
        <v>172</v>
      </c>
      <c r="B314" s="220" t="s">
        <v>680</v>
      </c>
      <c r="C314" s="213" t="s">
        <v>69</v>
      </c>
      <c r="D314" s="213" t="s">
        <v>67</v>
      </c>
      <c r="E314" s="210">
        <v>612</v>
      </c>
      <c r="F314" s="210">
        <v>725</v>
      </c>
      <c r="G314" s="214">
        <f>927.6-154.6</f>
        <v>773</v>
      </c>
      <c r="H314" s="214">
        <v>303.6</v>
      </c>
      <c r="I314" s="214">
        <f t="shared" si="43"/>
        <v>469.4</v>
      </c>
      <c r="J314" s="214">
        <f t="shared" si="45"/>
        <v>39.275549805950845</v>
      </c>
      <c r="K314" s="180"/>
      <c r="L314" s="7"/>
      <c r="M314" s="7"/>
    </row>
    <row r="315" spans="1:13" s="5" customFormat="1" ht="12.75">
      <c r="A315" s="207" t="s">
        <v>204</v>
      </c>
      <c r="B315" s="202" t="s">
        <v>452</v>
      </c>
      <c r="C315" s="213"/>
      <c r="D315" s="213"/>
      <c r="E315" s="210"/>
      <c r="F315" s="210"/>
      <c r="G315" s="208">
        <f>G316</f>
        <v>232.9</v>
      </c>
      <c r="H315" s="208">
        <f>H316</f>
        <v>208.3</v>
      </c>
      <c r="I315" s="208">
        <f t="shared" si="43"/>
        <v>24.599999999999994</v>
      </c>
      <c r="J315" s="208">
        <f t="shared" si="45"/>
        <v>89.43752683555174</v>
      </c>
      <c r="K315" s="180"/>
      <c r="L315" s="7"/>
      <c r="M315" s="7"/>
    </row>
    <row r="316" spans="1:13" s="5" customFormat="1" ht="12.75">
      <c r="A316" s="207" t="s">
        <v>8</v>
      </c>
      <c r="B316" s="202" t="s">
        <v>452</v>
      </c>
      <c r="C316" s="209" t="s">
        <v>69</v>
      </c>
      <c r="D316" s="209" t="s">
        <v>36</v>
      </c>
      <c r="E316" s="210"/>
      <c r="F316" s="210"/>
      <c r="G316" s="208">
        <f>G317+G322</f>
        <v>232.9</v>
      </c>
      <c r="H316" s="208">
        <f>H317+H322</f>
        <v>208.3</v>
      </c>
      <c r="I316" s="208">
        <f t="shared" si="43"/>
        <v>24.599999999999994</v>
      </c>
      <c r="J316" s="208">
        <f t="shared" si="45"/>
        <v>89.43752683555174</v>
      </c>
      <c r="K316" s="7"/>
      <c r="L316" s="7"/>
      <c r="M316" s="7"/>
    </row>
    <row r="317" spans="1:13" s="5" customFormat="1" ht="12.75">
      <c r="A317" s="211" t="s">
        <v>9</v>
      </c>
      <c r="B317" s="212" t="s">
        <v>452</v>
      </c>
      <c r="C317" s="213" t="s">
        <v>69</v>
      </c>
      <c r="D317" s="213" t="s">
        <v>66</v>
      </c>
      <c r="E317" s="210"/>
      <c r="F317" s="210"/>
      <c r="G317" s="214">
        <f aca="true" t="shared" si="51" ref="G317:H320">G318</f>
        <v>142.3</v>
      </c>
      <c r="H317" s="214">
        <f t="shared" si="51"/>
        <v>117.9</v>
      </c>
      <c r="I317" s="214">
        <f t="shared" si="43"/>
        <v>24.400000000000006</v>
      </c>
      <c r="J317" s="214">
        <f t="shared" si="45"/>
        <v>82.85312719606465</v>
      </c>
      <c r="K317" s="7"/>
      <c r="L317" s="7"/>
      <c r="M317" s="7"/>
    </row>
    <row r="318" spans="1:13" s="5" customFormat="1" ht="33.75">
      <c r="A318" s="215" t="s">
        <v>114</v>
      </c>
      <c r="B318" s="212" t="s">
        <v>452</v>
      </c>
      <c r="C318" s="213" t="s">
        <v>69</v>
      </c>
      <c r="D318" s="213" t="s">
        <v>66</v>
      </c>
      <c r="E318" s="216" t="s">
        <v>115</v>
      </c>
      <c r="F318" s="210"/>
      <c r="G318" s="214">
        <f t="shared" si="51"/>
        <v>142.3</v>
      </c>
      <c r="H318" s="214">
        <f t="shared" si="51"/>
        <v>117.9</v>
      </c>
      <c r="I318" s="214">
        <f t="shared" si="43"/>
        <v>24.400000000000006</v>
      </c>
      <c r="J318" s="214">
        <f t="shared" si="45"/>
        <v>82.85312719606465</v>
      </c>
      <c r="K318" s="7"/>
      <c r="L318" s="7"/>
      <c r="M318" s="7"/>
    </row>
    <row r="319" spans="1:13" s="5" customFormat="1" ht="12.75">
      <c r="A319" s="215" t="s">
        <v>120</v>
      </c>
      <c r="B319" s="212" t="s">
        <v>452</v>
      </c>
      <c r="C319" s="213" t="s">
        <v>69</v>
      </c>
      <c r="D319" s="213" t="s">
        <v>66</v>
      </c>
      <c r="E319" s="216" t="s">
        <v>121</v>
      </c>
      <c r="F319" s="210"/>
      <c r="G319" s="214">
        <f t="shared" si="51"/>
        <v>142.3</v>
      </c>
      <c r="H319" s="214">
        <f t="shared" si="51"/>
        <v>117.9</v>
      </c>
      <c r="I319" s="214">
        <f t="shared" si="43"/>
        <v>24.400000000000006</v>
      </c>
      <c r="J319" s="214">
        <f t="shared" si="45"/>
        <v>82.85312719606465</v>
      </c>
      <c r="K319" s="7"/>
      <c r="L319" s="7"/>
      <c r="M319" s="7"/>
    </row>
    <row r="320" spans="1:13" s="5" customFormat="1" ht="12.75">
      <c r="A320" s="215" t="s">
        <v>124</v>
      </c>
      <c r="B320" s="212" t="s">
        <v>452</v>
      </c>
      <c r="C320" s="213" t="s">
        <v>69</v>
      </c>
      <c r="D320" s="213" t="s">
        <v>66</v>
      </c>
      <c r="E320" s="216" t="s">
        <v>125</v>
      </c>
      <c r="F320" s="210"/>
      <c r="G320" s="214">
        <f t="shared" si="51"/>
        <v>142.3</v>
      </c>
      <c r="H320" s="214">
        <f t="shared" si="51"/>
        <v>117.9</v>
      </c>
      <c r="I320" s="214">
        <f t="shared" si="43"/>
        <v>24.400000000000006</v>
      </c>
      <c r="J320" s="214">
        <f t="shared" si="45"/>
        <v>82.85312719606465</v>
      </c>
      <c r="K320" s="7"/>
      <c r="L320" s="7"/>
      <c r="M320" s="7"/>
    </row>
    <row r="321" spans="1:13" s="23" customFormat="1" ht="22.5">
      <c r="A321" s="211" t="s">
        <v>172</v>
      </c>
      <c r="B321" s="212" t="s">
        <v>452</v>
      </c>
      <c r="C321" s="213" t="s">
        <v>69</v>
      </c>
      <c r="D321" s="213" t="s">
        <v>66</v>
      </c>
      <c r="E321" s="216" t="s">
        <v>125</v>
      </c>
      <c r="F321" s="210">
        <v>725</v>
      </c>
      <c r="G321" s="214">
        <f>60+15.5+48+18.8</f>
        <v>142.3</v>
      </c>
      <c r="H321" s="214">
        <v>117.9</v>
      </c>
      <c r="I321" s="214">
        <f t="shared" si="43"/>
        <v>24.400000000000006</v>
      </c>
      <c r="J321" s="214">
        <f t="shared" si="45"/>
        <v>82.85312719606465</v>
      </c>
      <c r="K321" s="7"/>
      <c r="L321" s="7"/>
      <c r="M321" s="7"/>
    </row>
    <row r="322" spans="1:13" s="23" customFormat="1" ht="12.75">
      <c r="A322" s="211" t="s">
        <v>875</v>
      </c>
      <c r="B322" s="212" t="s">
        <v>452</v>
      </c>
      <c r="C322" s="213" t="s">
        <v>69</v>
      </c>
      <c r="D322" s="213" t="s">
        <v>67</v>
      </c>
      <c r="E322" s="210"/>
      <c r="F322" s="210"/>
      <c r="G322" s="214">
        <f aca="true" t="shared" si="52" ref="G322:H325">G323</f>
        <v>90.6</v>
      </c>
      <c r="H322" s="214">
        <f t="shared" si="52"/>
        <v>90.4</v>
      </c>
      <c r="I322" s="214">
        <f t="shared" si="43"/>
        <v>0.19999999999998863</v>
      </c>
      <c r="J322" s="214">
        <f t="shared" si="45"/>
        <v>99.77924944812364</v>
      </c>
      <c r="K322" s="7"/>
      <c r="L322" s="7"/>
      <c r="M322" s="7"/>
    </row>
    <row r="323" spans="1:13" s="23" customFormat="1" ht="23.25" customHeight="1">
      <c r="A323" s="215" t="s">
        <v>114</v>
      </c>
      <c r="B323" s="212" t="s">
        <v>452</v>
      </c>
      <c r="C323" s="213" t="s">
        <v>69</v>
      </c>
      <c r="D323" s="213" t="s">
        <v>67</v>
      </c>
      <c r="E323" s="216" t="s">
        <v>115</v>
      </c>
      <c r="F323" s="210"/>
      <c r="G323" s="214">
        <f t="shared" si="52"/>
        <v>90.6</v>
      </c>
      <c r="H323" s="214">
        <f t="shared" si="52"/>
        <v>90.4</v>
      </c>
      <c r="I323" s="214">
        <f t="shared" si="43"/>
        <v>0.19999999999998863</v>
      </c>
      <c r="J323" s="214">
        <f t="shared" si="45"/>
        <v>99.77924944812364</v>
      </c>
      <c r="K323" s="7"/>
      <c r="L323" s="7"/>
      <c r="M323" s="7"/>
    </row>
    <row r="324" spans="1:13" s="23" customFormat="1" ht="12.75">
      <c r="A324" s="215" t="s">
        <v>120</v>
      </c>
      <c r="B324" s="212" t="s">
        <v>452</v>
      </c>
      <c r="C324" s="213" t="s">
        <v>69</v>
      </c>
      <c r="D324" s="213" t="s">
        <v>67</v>
      </c>
      <c r="E324" s="216" t="s">
        <v>121</v>
      </c>
      <c r="F324" s="210"/>
      <c r="G324" s="214">
        <f t="shared" si="52"/>
        <v>90.6</v>
      </c>
      <c r="H324" s="214">
        <f t="shared" si="52"/>
        <v>90.4</v>
      </c>
      <c r="I324" s="214">
        <f t="shared" si="43"/>
        <v>0.19999999999998863</v>
      </c>
      <c r="J324" s="214">
        <f t="shared" si="45"/>
        <v>99.77924944812364</v>
      </c>
      <c r="K324" s="7"/>
      <c r="L324" s="7"/>
      <c r="M324" s="7"/>
    </row>
    <row r="325" spans="1:13" s="23" customFormat="1" ht="12.75">
      <c r="A325" s="215" t="s">
        <v>124</v>
      </c>
      <c r="B325" s="212" t="s">
        <v>452</v>
      </c>
      <c r="C325" s="213" t="s">
        <v>69</v>
      </c>
      <c r="D325" s="213" t="s">
        <v>67</v>
      </c>
      <c r="E325" s="216" t="s">
        <v>125</v>
      </c>
      <c r="F325" s="210"/>
      <c r="G325" s="214">
        <f t="shared" si="52"/>
        <v>90.6</v>
      </c>
      <c r="H325" s="214">
        <f t="shared" si="52"/>
        <v>90.4</v>
      </c>
      <c r="I325" s="214">
        <f t="shared" si="43"/>
        <v>0.19999999999998863</v>
      </c>
      <c r="J325" s="214">
        <f t="shared" si="45"/>
        <v>99.77924944812364</v>
      </c>
      <c r="K325" s="7"/>
      <c r="L325" s="7"/>
      <c r="M325" s="7"/>
    </row>
    <row r="326" spans="1:13" s="5" customFormat="1" ht="22.5">
      <c r="A326" s="211" t="s">
        <v>172</v>
      </c>
      <c r="B326" s="212" t="s">
        <v>452</v>
      </c>
      <c r="C326" s="213" t="s">
        <v>69</v>
      </c>
      <c r="D326" s="213" t="s">
        <v>67</v>
      </c>
      <c r="E326" s="216" t="s">
        <v>125</v>
      </c>
      <c r="F326" s="210">
        <v>725</v>
      </c>
      <c r="G326" s="214">
        <f>24+24+24+22.1+24-27.5</f>
        <v>90.6</v>
      </c>
      <c r="H326" s="214">
        <v>90.4</v>
      </c>
      <c r="I326" s="214">
        <f t="shared" si="43"/>
        <v>0.19999999999998863</v>
      </c>
      <c r="J326" s="214">
        <f t="shared" si="45"/>
        <v>99.77924944812364</v>
      </c>
      <c r="K326" s="7"/>
      <c r="L326" s="7"/>
      <c r="M326" s="7"/>
    </row>
    <row r="327" spans="1:13" s="5" customFormat="1" ht="12.75">
      <c r="A327" s="207" t="s">
        <v>212</v>
      </c>
      <c r="B327" s="202" t="s">
        <v>459</v>
      </c>
      <c r="C327" s="213"/>
      <c r="D327" s="213"/>
      <c r="E327" s="216"/>
      <c r="F327" s="210"/>
      <c r="G327" s="208">
        <f aca="true" t="shared" si="53" ref="G327:H332">G328</f>
        <v>2018</v>
      </c>
      <c r="H327" s="208">
        <f t="shared" si="53"/>
        <v>1974.4</v>
      </c>
      <c r="I327" s="208">
        <f t="shared" si="43"/>
        <v>43.59999999999991</v>
      </c>
      <c r="J327" s="208">
        <f t="shared" si="45"/>
        <v>97.8394449950446</v>
      </c>
      <c r="K327" s="7"/>
      <c r="L327" s="7"/>
      <c r="M327" s="7"/>
    </row>
    <row r="328" spans="1:13" s="5" customFormat="1" ht="12.75">
      <c r="A328" s="207" t="s">
        <v>8</v>
      </c>
      <c r="B328" s="202" t="s">
        <v>459</v>
      </c>
      <c r="C328" s="209" t="s">
        <v>69</v>
      </c>
      <c r="D328" s="209" t="s">
        <v>36</v>
      </c>
      <c r="E328" s="216"/>
      <c r="F328" s="210"/>
      <c r="G328" s="208">
        <f t="shared" si="53"/>
        <v>2018</v>
      </c>
      <c r="H328" s="208">
        <f t="shared" si="53"/>
        <v>1974.4</v>
      </c>
      <c r="I328" s="208">
        <f t="shared" si="43"/>
        <v>43.59999999999991</v>
      </c>
      <c r="J328" s="208">
        <f t="shared" si="45"/>
        <v>97.8394449950446</v>
      </c>
      <c r="K328" s="7"/>
      <c r="L328" s="7"/>
      <c r="M328" s="7"/>
    </row>
    <row r="329" spans="1:13" s="5" customFormat="1" ht="12.75">
      <c r="A329" s="211" t="s">
        <v>875</v>
      </c>
      <c r="B329" s="212" t="s">
        <v>459</v>
      </c>
      <c r="C329" s="213" t="s">
        <v>69</v>
      </c>
      <c r="D329" s="213" t="s">
        <v>67</v>
      </c>
      <c r="E329" s="216"/>
      <c r="F329" s="210"/>
      <c r="G329" s="214">
        <f t="shared" si="53"/>
        <v>2018</v>
      </c>
      <c r="H329" s="214">
        <f t="shared" si="53"/>
        <v>1974.4</v>
      </c>
      <c r="I329" s="214">
        <f aca="true" t="shared" si="54" ref="I329:I392">G329-H329</f>
        <v>43.59999999999991</v>
      </c>
      <c r="J329" s="214">
        <f t="shared" si="45"/>
        <v>97.8394449950446</v>
      </c>
      <c r="K329" s="7"/>
      <c r="L329" s="7"/>
      <c r="M329" s="7"/>
    </row>
    <row r="330" spans="1:13" s="5" customFormat="1" ht="24.75" customHeight="1">
      <c r="A330" s="215" t="s">
        <v>114</v>
      </c>
      <c r="B330" s="212" t="s">
        <v>459</v>
      </c>
      <c r="C330" s="213" t="s">
        <v>69</v>
      </c>
      <c r="D330" s="213" t="s">
        <v>67</v>
      </c>
      <c r="E330" s="216" t="s">
        <v>115</v>
      </c>
      <c r="F330" s="210"/>
      <c r="G330" s="214">
        <f t="shared" si="53"/>
        <v>2018</v>
      </c>
      <c r="H330" s="214">
        <f t="shared" si="53"/>
        <v>1974.4</v>
      </c>
      <c r="I330" s="214">
        <f t="shared" si="54"/>
        <v>43.59999999999991</v>
      </c>
      <c r="J330" s="214">
        <f t="shared" si="45"/>
        <v>97.8394449950446</v>
      </c>
      <c r="K330" s="7"/>
      <c r="L330" s="7"/>
      <c r="M330" s="7"/>
    </row>
    <row r="331" spans="1:13" s="5" customFormat="1" ht="12.75">
      <c r="A331" s="215" t="s">
        <v>120</v>
      </c>
      <c r="B331" s="212" t="s">
        <v>459</v>
      </c>
      <c r="C331" s="213" t="s">
        <v>69</v>
      </c>
      <c r="D331" s="213" t="s">
        <v>67</v>
      </c>
      <c r="E331" s="216" t="s">
        <v>121</v>
      </c>
      <c r="F331" s="210"/>
      <c r="G331" s="214">
        <f t="shared" si="53"/>
        <v>2018</v>
      </c>
      <c r="H331" s="214">
        <f t="shared" si="53"/>
        <v>1974.4</v>
      </c>
      <c r="I331" s="214">
        <f t="shared" si="54"/>
        <v>43.59999999999991</v>
      </c>
      <c r="J331" s="214">
        <f t="shared" si="45"/>
        <v>97.8394449950446</v>
      </c>
      <c r="K331" s="7"/>
      <c r="L331" s="7"/>
      <c r="M331" s="7"/>
    </row>
    <row r="332" spans="1:13" s="5" customFormat="1" ht="12.75">
      <c r="A332" s="215" t="s">
        <v>124</v>
      </c>
      <c r="B332" s="212" t="s">
        <v>459</v>
      </c>
      <c r="C332" s="213" t="s">
        <v>69</v>
      </c>
      <c r="D332" s="213" t="s">
        <v>67</v>
      </c>
      <c r="E332" s="216" t="s">
        <v>125</v>
      </c>
      <c r="F332" s="210"/>
      <c r="G332" s="214">
        <f t="shared" si="53"/>
        <v>2018</v>
      </c>
      <c r="H332" s="214">
        <f t="shared" si="53"/>
        <v>1974.4</v>
      </c>
      <c r="I332" s="214">
        <f t="shared" si="54"/>
        <v>43.59999999999991</v>
      </c>
      <c r="J332" s="214">
        <f t="shared" si="45"/>
        <v>97.8394449950446</v>
      </c>
      <c r="K332" s="7"/>
      <c r="L332" s="7"/>
      <c r="M332" s="7"/>
    </row>
    <row r="333" spans="1:13" s="5" customFormat="1" ht="24" customHeight="1">
      <c r="A333" s="211" t="s">
        <v>172</v>
      </c>
      <c r="B333" s="212" t="s">
        <v>459</v>
      </c>
      <c r="C333" s="213" t="s">
        <v>69</v>
      </c>
      <c r="D333" s="213" t="s">
        <v>67</v>
      </c>
      <c r="E333" s="216" t="s">
        <v>125</v>
      </c>
      <c r="F333" s="210">
        <v>725</v>
      </c>
      <c r="G333" s="214">
        <f>260.9+1119.1+578.1+347+621.4-908.5</f>
        <v>2018</v>
      </c>
      <c r="H333" s="214">
        <v>1974.4</v>
      </c>
      <c r="I333" s="214">
        <f t="shared" si="54"/>
        <v>43.59999999999991</v>
      </c>
      <c r="J333" s="214">
        <f t="shared" si="45"/>
        <v>97.8394449950446</v>
      </c>
      <c r="K333" s="7"/>
      <c r="L333" s="7"/>
      <c r="M333" s="7"/>
    </row>
    <row r="334" spans="1:13" s="5" customFormat="1" ht="23.25" customHeight="1">
      <c r="A334" s="207" t="s">
        <v>386</v>
      </c>
      <c r="B334" s="202" t="s">
        <v>460</v>
      </c>
      <c r="C334" s="213"/>
      <c r="D334" s="213"/>
      <c r="E334" s="216"/>
      <c r="F334" s="210"/>
      <c r="G334" s="208">
        <f aca="true" t="shared" si="55" ref="G334:H339">G335</f>
        <v>34.199999999999996</v>
      </c>
      <c r="H334" s="208">
        <f t="shared" si="55"/>
        <v>34.2</v>
      </c>
      <c r="I334" s="208">
        <f t="shared" si="54"/>
        <v>0</v>
      </c>
      <c r="J334" s="208">
        <f aca="true" t="shared" si="56" ref="J334:J397">H334/G334*100</f>
        <v>100.00000000000003</v>
      </c>
      <c r="K334" s="7"/>
      <c r="L334" s="7"/>
      <c r="M334" s="7"/>
    </row>
    <row r="335" spans="1:13" s="5" customFormat="1" ht="12.75">
      <c r="A335" s="207" t="s">
        <v>8</v>
      </c>
      <c r="B335" s="202" t="s">
        <v>460</v>
      </c>
      <c r="C335" s="209" t="s">
        <v>69</v>
      </c>
      <c r="D335" s="209" t="s">
        <v>36</v>
      </c>
      <c r="E335" s="216"/>
      <c r="F335" s="210"/>
      <c r="G335" s="214">
        <f t="shared" si="55"/>
        <v>34.199999999999996</v>
      </c>
      <c r="H335" s="214">
        <f t="shared" si="55"/>
        <v>34.2</v>
      </c>
      <c r="I335" s="214">
        <f t="shared" si="54"/>
        <v>0</v>
      </c>
      <c r="J335" s="214">
        <f t="shared" si="56"/>
        <v>100.00000000000003</v>
      </c>
      <c r="K335" s="7"/>
      <c r="L335" s="7"/>
      <c r="M335" s="7"/>
    </row>
    <row r="336" spans="1:13" s="5" customFormat="1" ht="12.75">
      <c r="A336" s="211" t="s">
        <v>875</v>
      </c>
      <c r="B336" s="212" t="s">
        <v>460</v>
      </c>
      <c r="C336" s="213" t="s">
        <v>69</v>
      </c>
      <c r="D336" s="213" t="s">
        <v>67</v>
      </c>
      <c r="E336" s="216"/>
      <c r="F336" s="210"/>
      <c r="G336" s="214">
        <f t="shared" si="55"/>
        <v>34.199999999999996</v>
      </c>
      <c r="H336" s="214">
        <f t="shared" si="55"/>
        <v>34.2</v>
      </c>
      <c r="I336" s="214">
        <f t="shared" si="54"/>
        <v>0</v>
      </c>
      <c r="J336" s="214">
        <f t="shared" si="56"/>
        <v>100.00000000000003</v>
      </c>
      <c r="K336" s="7"/>
      <c r="L336" s="7"/>
      <c r="M336" s="7"/>
    </row>
    <row r="337" spans="1:13" s="5" customFormat="1" ht="25.5" customHeight="1">
      <c r="A337" s="215" t="s">
        <v>114</v>
      </c>
      <c r="B337" s="212" t="s">
        <v>460</v>
      </c>
      <c r="C337" s="213" t="s">
        <v>69</v>
      </c>
      <c r="D337" s="213" t="s">
        <v>67</v>
      </c>
      <c r="E337" s="216" t="s">
        <v>115</v>
      </c>
      <c r="F337" s="210"/>
      <c r="G337" s="214">
        <f t="shared" si="55"/>
        <v>34.199999999999996</v>
      </c>
      <c r="H337" s="214">
        <f t="shared" si="55"/>
        <v>34.2</v>
      </c>
      <c r="I337" s="214">
        <f t="shared" si="54"/>
        <v>0</v>
      </c>
      <c r="J337" s="214">
        <f t="shared" si="56"/>
        <v>100.00000000000003</v>
      </c>
      <c r="K337" s="7"/>
      <c r="L337" s="7"/>
      <c r="M337" s="7"/>
    </row>
    <row r="338" spans="1:13" s="5" customFormat="1" ht="12.75">
      <c r="A338" s="215" t="s">
        <v>120</v>
      </c>
      <c r="B338" s="212" t="s">
        <v>460</v>
      </c>
      <c r="C338" s="213" t="s">
        <v>69</v>
      </c>
      <c r="D338" s="213" t="s">
        <v>67</v>
      </c>
      <c r="E338" s="216" t="s">
        <v>121</v>
      </c>
      <c r="F338" s="210"/>
      <c r="G338" s="214">
        <f t="shared" si="55"/>
        <v>34.199999999999996</v>
      </c>
      <c r="H338" s="214">
        <f t="shared" si="55"/>
        <v>34.2</v>
      </c>
      <c r="I338" s="214">
        <f t="shared" si="54"/>
        <v>0</v>
      </c>
      <c r="J338" s="214">
        <f t="shared" si="56"/>
        <v>100.00000000000003</v>
      </c>
      <c r="K338" s="7"/>
      <c r="L338" s="7"/>
      <c r="M338" s="7"/>
    </row>
    <row r="339" spans="1:13" s="5" customFormat="1" ht="12.75">
      <c r="A339" s="215" t="s">
        <v>124</v>
      </c>
      <c r="B339" s="212" t="s">
        <v>460</v>
      </c>
      <c r="C339" s="213" t="s">
        <v>69</v>
      </c>
      <c r="D339" s="213" t="s">
        <v>67</v>
      </c>
      <c r="E339" s="216" t="s">
        <v>125</v>
      </c>
      <c r="F339" s="210"/>
      <c r="G339" s="214">
        <f t="shared" si="55"/>
        <v>34.199999999999996</v>
      </c>
      <c r="H339" s="214">
        <f t="shared" si="55"/>
        <v>34.2</v>
      </c>
      <c r="I339" s="214">
        <f t="shared" si="54"/>
        <v>0</v>
      </c>
      <c r="J339" s="214">
        <f t="shared" si="56"/>
        <v>100.00000000000003</v>
      </c>
      <c r="K339" s="7"/>
      <c r="L339" s="7"/>
      <c r="M339" s="7"/>
    </row>
    <row r="340" spans="1:13" s="5" customFormat="1" ht="22.5">
      <c r="A340" s="211" t="s">
        <v>172</v>
      </c>
      <c r="B340" s="212" t="s">
        <v>460</v>
      </c>
      <c r="C340" s="213" t="s">
        <v>69</v>
      </c>
      <c r="D340" s="213" t="s">
        <v>67</v>
      </c>
      <c r="E340" s="216" t="s">
        <v>125</v>
      </c>
      <c r="F340" s="210">
        <v>725</v>
      </c>
      <c r="G340" s="214">
        <f>6.1+21.7+6.4</f>
        <v>34.199999999999996</v>
      </c>
      <c r="H340" s="214">
        <v>34.2</v>
      </c>
      <c r="I340" s="214">
        <f t="shared" si="54"/>
        <v>0</v>
      </c>
      <c r="J340" s="214">
        <f t="shared" si="56"/>
        <v>100.00000000000003</v>
      </c>
      <c r="K340" s="7"/>
      <c r="L340" s="7"/>
      <c r="M340" s="7"/>
    </row>
    <row r="341" spans="1:13" s="5" customFormat="1" ht="34.5" customHeight="1">
      <c r="A341" s="207" t="s">
        <v>765</v>
      </c>
      <c r="B341" s="202" t="s">
        <v>197</v>
      </c>
      <c r="C341" s="213"/>
      <c r="D341" s="213"/>
      <c r="E341" s="210"/>
      <c r="F341" s="210"/>
      <c r="G341" s="208">
        <f>G342</f>
        <v>193.5</v>
      </c>
      <c r="H341" s="208">
        <f>H342</f>
        <v>193.5</v>
      </c>
      <c r="I341" s="208">
        <f t="shared" si="54"/>
        <v>0</v>
      </c>
      <c r="J341" s="208">
        <f t="shared" si="56"/>
        <v>100</v>
      </c>
      <c r="K341" s="180"/>
      <c r="L341" s="7"/>
      <c r="M341" s="7"/>
    </row>
    <row r="342" spans="1:13" s="5" customFormat="1" ht="43.5" customHeight="1">
      <c r="A342" s="207" t="s">
        <v>303</v>
      </c>
      <c r="B342" s="202" t="s">
        <v>447</v>
      </c>
      <c r="C342" s="213"/>
      <c r="D342" s="213"/>
      <c r="E342" s="210"/>
      <c r="F342" s="210"/>
      <c r="G342" s="208">
        <f>G343+G349</f>
        <v>193.5</v>
      </c>
      <c r="H342" s="208">
        <f>H343+H349</f>
        <v>193.5</v>
      </c>
      <c r="I342" s="208">
        <f t="shared" si="54"/>
        <v>0</v>
      </c>
      <c r="J342" s="208">
        <f t="shared" si="56"/>
        <v>100</v>
      </c>
      <c r="K342" s="180"/>
      <c r="L342" s="7"/>
      <c r="M342" s="7"/>
    </row>
    <row r="343" spans="1:13" s="5" customFormat="1" ht="32.25" customHeight="1">
      <c r="A343" s="218" t="s">
        <v>719</v>
      </c>
      <c r="B343" s="219" t="s">
        <v>720</v>
      </c>
      <c r="C343" s="223"/>
      <c r="D343" s="223"/>
      <c r="E343" s="223"/>
      <c r="F343" s="230"/>
      <c r="G343" s="224">
        <f aca="true" t="shared" si="57" ref="G343:H347">G344</f>
        <v>93.5</v>
      </c>
      <c r="H343" s="224">
        <f t="shared" si="57"/>
        <v>93.5</v>
      </c>
      <c r="I343" s="208">
        <f t="shared" si="54"/>
        <v>0</v>
      </c>
      <c r="J343" s="208">
        <f t="shared" si="56"/>
        <v>100</v>
      </c>
      <c r="K343" s="180"/>
      <c r="L343" s="7"/>
      <c r="M343" s="7"/>
    </row>
    <row r="344" spans="1:13" s="5" customFormat="1" ht="13.5" customHeight="1">
      <c r="A344" s="207" t="s">
        <v>5</v>
      </c>
      <c r="B344" s="219" t="s">
        <v>720</v>
      </c>
      <c r="C344" s="209" t="s">
        <v>68</v>
      </c>
      <c r="D344" s="209" t="s">
        <v>36</v>
      </c>
      <c r="E344" s="223"/>
      <c r="F344" s="230"/>
      <c r="G344" s="224">
        <f t="shared" si="57"/>
        <v>93.5</v>
      </c>
      <c r="H344" s="224">
        <f t="shared" si="57"/>
        <v>93.5</v>
      </c>
      <c r="I344" s="208">
        <f t="shared" si="54"/>
        <v>0</v>
      </c>
      <c r="J344" s="208">
        <f t="shared" si="56"/>
        <v>100</v>
      </c>
      <c r="K344" s="180"/>
      <c r="L344" s="7"/>
      <c r="M344" s="7"/>
    </row>
    <row r="345" spans="1:13" s="5" customFormat="1" ht="15" customHeight="1">
      <c r="A345" s="211" t="s">
        <v>7</v>
      </c>
      <c r="B345" s="220" t="s">
        <v>720</v>
      </c>
      <c r="C345" s="213" t="s">
        <v>68</v>
      </c>
      <c r="D345" s="213" t="s">
        <v>78</v>
      </c>
      <c r="E345" s="223"/>
      <c r="F345" s="230"/>
      <c r="G345" s="224">
        <f t="shared" si="57"/>
        <v>93.5</v>
      </c>
      <c r="H345" s="224">
        <f t="shared" si="57"/>
        <v>93.5</v>
      </c>
      <c r="I345" s="208">
        <f t="shared" si="54"/>
        <v>0</v>
      </c>
      <c r="J345" s="208">
        <f t="shared" si="56"/>
        <v>100</v>
      </c>
      <c r="K345" s="180"/>
      <c r="L345" s="7"/>
      <c r="M345" s="7"/>
    </row>
    <row r="346" spans="1:13" s="5" customFormat="1" ht="14.25" customHeight="1">
      <c r="A346" s="221" t="s">
        <v>137</v>
      </c>
      <c r="B346" s="220" t="s">
        <v>720</v>
      </c>
      <c r="C346" s="225" t="s">
        <v>68</v>
      </c>
      <c r="D346" s="225" t="s">
        <v>78</v>
      </c>
      <c r="E346" s="225" t="s">
        <v>138</v>
      </c>
      <c r="F346" s="231"/>
      <c r="G346" s="226">
        <f t="shared" si="57"/>
        <v>93.5</v>
      </c>
      <c r="H346" s="226">
        <f t="shared" si="57"/>
        <v>93.5</v>
      </c>
      <c r="I346" s="214">
        <f t="shared" si="54"/>
        <v>0</v>
      </c>
      <c r="J346" s="214">
        <f t="shared" si="56"/>
        <v>100</v>
      </c>
      <c r="K346" s="180"/>
      <c r="L346" s="7"/>
      <c r="M346" s="7"/>
    </row>
    <row r="347" spans="1:13" s="5" customFormat="1" ht="48" customHeight="1">
      <c r="A347" s="221" t="s">
        <v>182</v>
      </c>
      <c r="B347" s="220" t="s">
        <v>720</v>
      </c>
      <c r="C347" s="225" t="s">
        <v>68</v>
      </c>
      <c r="D347" s="225" t="s">
        <v>78</v>
      </c>
      <c r="E347" s="225" t="s">
        <v>139</v>
      </c>
      <c r="F347" s="231"/>
      <c r="G347" s="226">
        <f t="shared" si="57"/>
        <v>93.5</v>
      </c>
      <c r="H347" s="226">
        <f t="shared" si="57"/>
        <v>93.5</v>
      </c>
      <c r="I347" s="214">
        <f t="shared" si="54"/>
        <v>0</v>
      </c>
      <c r="J347" s="214">
        <f t="shared" si="56"/>
        <v>100</v>
      </c>
      <c r="K347" s="180"/>
      <c r="L347" s="7"/>
      <c r="M347" s="7"/>
    </row>
    <row r="348" spans="1:13" s="5" customFormat="1" ht="15.75" customHeight="1">
      <c r="A348" s="221" t="s">
        <v>169</v>
      </c>
      <c r="B348" s="220" t="s">
        <v>720</v>
      </c>
      <c r="C348" s="225" t="s">
        <v>68</v>
      </c>
      <c r="D348" s="225" t="s">
        <v>78</v>
      </c>
      <c r="E348" s="225" t="s">
        <v>139</v>
      </c>
      <c r="F348" s="231">
        <v>721</v>
      </c>
      <c r="G348" s="226">
        <v>93.5</v>
      </c>
      <c r="H348" s="226">
        <v>93.5</v>
      </c>
      <c r="I348" s="214">
        <f t="shared" si="54"/>
        <v>0</v>
      </c>
      <c r="J348" s="214">
        <f t="shared" si="56"/>
        <v>100</v>
      </c>
      <c r="K348" s="180"/>
      <c r="L348" s="7"/>
      <c r="M348" s="7"/>
    </row>
    <row r="349" spans="1:13" s="5" customFormat="1" ht="24" customHeight="1">
      <c r="A349" s="218" t="s">
        <v>721</v>
      </c>
      <c r="B349" s="219" t="s">
        <v>722</v>
      </c>
      <c r="C349" s="223"/>
      <c r="D349" s="223"/>
      <c r="E349" s="223"/>
      <c r="F349" s="230"/>
      <c r="G349" s="224">
        <f aca="true" t="shared" si="58" ref="G349:H353">G350</f>
        <v>100</v>
      </c>
      <c r="H349" s="224">
        <f t="shared" si="58"/>
        <v>100</v>
      </c>
      <c r="I349" s="208">
        <f t="shared" si="54"/>
        <v>0</v>
      </c>
      <c r="J349" s="208">
        <f t="shared" si="56"/>
        <v>100</v>
      </c>
      <c r="K349" s="180"/>
      <c r="L349" s="7"/>
      <c r="M349" s="7"/>
    </row>
    <row r="350" spans="1:13" s="5" customFormat="1" ht="15.75" customHeight="1">
      <c r="A350" s="207" t="s">
        <v>5</v>
      </c>
      <c r="B350" s="219" t="s">
        <v>722</v>
      </c>
      <c r="C350" s="209" t="s">
        <v>68</v>
      </c>
      <c r="D350" s="209" t="s">
        <v>36</v>
      </c>
      <c r="E350" s="223"/>
      <c r="F350" s="230"/>
      <c r="G350" s="224">
        <f t="shared" si="58"/>
        <v>100</v>
      </c>
      <c r="H350" s="224">
        <f t="shared" si="58"/>
        <v>100</v>
      </c>
      <c r="I350" s="208">
        <f t="shared" si="54"/>
        <v>0</v>
      </c>
      <c r="J350" s="208">
        <f t="shared" si="56"/>
        <v>100</v>
      </c>
      <c r="K350" s="180"/>
      <c r="L350" s="7"/>
      <c r="M350" s="7"/>
    </row>
    <row r="351" spans="1:13" s="5" customFormat="1" ht="14.25" customHeight="1">
      <c r="A351" s="211" t="s">
        <v>7</v>
      </c>
      <c r="B351" s="220" t="s">
        <v>722</v>
      </c>
      <c r="C351" s="213" t="s">
        <v>68</v>
      </c>
      <c r="D351" s="213" t="s">
        <v>78</v>
      </c>
      <c r="E351" s="223"/>
      <c r="F351" s="230"/>
      <c r="G351" s="226">
        <f t="shared" si="58"/>
        <v>100</v>
      </c>
      <c r="H351" s="226">
        <f t="shared" si="58"/>
        <v>100</v>
      </c>
      <c r="I351" s="214">
        <f t="shared" si="54"/>
        <v>0</v>
      </c>
      <c r="J351" s="214">
        <f t="shared" si="56"/>
        <v>100</v>
      </c>
      <c r="K351" s="180"/>
      <c r="L351" s="7"/>
      <c r="M351" s="7"/>
    </row>
    <row r="352" spans="1:13" s="5" customFormat="1" ht="15" customHeight="1">
      <c r="A352" s="221" t="s">
        <v>137</v>
      </c>
      <c r="B352" s="220" t="s">
        <v>722</v>
      </c>
      <c r="C352" s="225" t="s">
        <v>68</v>
      </c>
      <c r="D352" s="225" t="s">
        <v>78</v>
      </c>
      <c r="E352" s="225" t="s">
        <v>138</v>
      </c>
      <c r="F352" s="231"/>
      <c r="G352" s="226">
        <f t="shared" si="58"/>
        <v>100</v>
      </c>
      <c r="H352" s="226">
        <f t="shared" si="58"/>
        <v>100</v>
      </c>
      <c r="I352" s="214">
        <f t="shared" si="54"/>
        <v>0</v>
      </c>
      <c r="J352" s="214">
        <f t="shared" si="56"/>
        <v>100</v>
      </c>
      <c r="K352" s="180"/>
      <c r="L352" s="7"/>
      <c r="M352" s="7"/>
    </row>
    <row r="353" spans="1:13" s="5" customFormat="1" ht="49.5" customHeight="1">
      <c r="A353" s="221" t="s">
        <v>182</v>
      </c>
      <c r="B353" s="220" t="s">
        <v>722</v>
      </c>
      <c r="C353" s="225" t="s">
        <v>68</v>
      </c>
      <c r="D353" s="225" t="s">
        <v>78</v>
      </c>
      <c r="E353" s="225" t="s">
        <v>139</v>
      </c>
      <c r="F353" s="231"/>
      <c r="G353" s="226">
        <f t="shared" si="58"/>
        <v>100</v>
      </c>
      <c r="H353" s="226">
        <f t="shared" si="58"/>
        <v>100</v>
      </c>
      <c r="I353" s="214">
        <f t="shared" si="54"/>
        <v>0</v>
      </c>
      <c r="J353" s="214">
        <f t="shared" si="56"/>
        <v>100</v>
      </c>
      <c r="K353" s="180"/>
      <c r="L353" s="7"/>
      <c r="M353" s="7"/>
    </row>
    <row r="354" spans="1:13" s="5" customFormat="1" ht="12.75">
      <c r="A354" s="221" t="s">
        <v>169</v>
      </c>
      <c r="B354" s="220" t="s">
        <v>722</v>
      </c>
      <c r="C354" s="213" t="s">
        <v>68</v>
      </c>
      <c r="D354" s="213" t="s">
        <v>78</v>
      </c>
      <c r="E354" s="216" t="s">
        <v>139</v>
      </c>
      <c r="F354" s="210">
        <v>721</v>
      </c>
      <c r="G354" s="214">
        <v>100</v>
      </c>
      <c r="H354" s="214">
        <v>100</v>
      </c>
      <c r="I354" s="214">
        <f t="shared" si="54"/>
        <v>0</v>
      </c>
      <c r="J354" s="214">
        <f t="shared" si="56"/>
        <v>100</v>
      </c>
      <c r="K354" s="7"/>
      <c r="L354" s="7"/>
      <c r="M354" s="7"/>
    </row>
    <row r="355" spans="1:13" s="5" customFormat="1" ht="34.5" customHeight="1">
      <c r="A355" s="207" t="s">
        <v>358</v>
      </c>
      <c r="B355" s="202" t="s">
        <v>195</v>
      </c>
      <c r="C355" s="209"/>
      <c r="D355" s="209"/>
      <c r="E355" s="201"/>
      <c r="F355" s="201"/>
      <c r="G355" s="208">
        <f aca="true" t="shared" si="59" ref="G355:H361">G356</f>
        <v>500</v>
      </c>
      <c r="H355" s="208">
        <f t="shared" si="59"/>
        <v>500</v>
      </c>
      <c r="I355" s="208">
        <f t="shared" si="54"/>
        <v>0</v>
      </c>
      <c r="J355" s="208">
        <f t="shared" si="56"/>
        <v>100</v>
      </c>
      <c r="K355" s="180"/>
      <c r="L355" s="7"/>
      <c r="M355" s="7"/>
    </row>
    <row r="356" spans="1:13" s="5" customFormat="1" ht="23.25" customHeight="1">
      <c r="A356" s="207" t="s">
        <v>286</v>
      </c>
      <c r="B356" s="202" t="s">
        <v>445</v>
      </c>
      <c r="C356" s="209"/>
      <c r="D356" s="209"/>
      <c r="E356" s="201"/>
      <c r="F356" s="201"/>
      <c r="G356" s="208">
        <f t="shared" si="59"/>
        <v>500</v>
      </c>
      <c r="H356" s="208">
        <f t="shared" si="59"/>
        <v>500</v>
      </c>
      <c r="I356" s="208">
        <f t="shared" si="54"/>
        <v>0</v>
      </c>
      <c r="J356" s="208">
        <f t="shared" si="56"/>
        <v>100</v>
      </c>
      <c r="K356" s="180"/>
      <c r="L356" s="7"/>
      <c r="M356" s="7"/>
    </row>
    <row r="357" spans="1:13" s="5" customFormat="1" ht="36" customHeight="1">
      <c r="A357" s="207" t="s">
        <v>194</v>
      </c>
      <c r="B357" s="202" t="s">
        <v>446</v>
      </c>
      <c r="C357" s="209"/>
      <c r="D357" s="209"/>
      <c r="E357" s="201"/>
      <c r="F357" s="201"/>
      <c r="G357" s="208">
        <f t="shared" si="59"/>
        <v>500</v>
      </c>
      <c r="H357" s="208">
        <f t="shared" si="59"/>
        <v>500</v>
      </c>
      <c r="I357" s="208">
        <f t="shared" si="54"/>
        <v>0</v>
      </c>
      <c r="J357" s="208">
        <f t="shared" si="56"/>
        <v>100</v>
      </c>
      <c r="K357" s="180"/>
      <c r="L357" s="7"/>
      <c r="M357" s="7"/>
    </row>
    <row r="358" spans="1:13" s="5" customFormat="1" ht="12.75">
      <c r="A358" s="207" t="s">
        <v>5</v>
      </c>
      <c r="B358" s="202" t="s">
        <v>446</v>
      </c>
      <c r="C358" s="209" t="s">
        <v>68</v>
      </c>
      <c r="D358" s="209" t="s">
        <v>36</v>
      </c>
      <c r="E358" s="201"/>
      <c r="F358" s="201"/>
      <c r="G358" s="208">
        <f t="shared" si="59"/>
        <v>500</v>
      </c>
      <c r="H358" s="208">
        <f t="shared" si="59"/>
        <v>500</v>
      </c>
      <c r="I358" s="208">
        <f t="shared" si="54"/>
        <v>0</v>
      </c>
      <c r="J358" s="208">
        <f t="shared" si="56"/>
        <v>100</v>
      </c>
      <c r="K358" s="7"/>
      <c r="L358" s="7"/>
      <c r="M358" s="7"/>
    </row>
    <row r="359" spans="1:13" s="5" customFormat="1" ht="12.75">
      <c r="A359" s="211" t="s">
        <v>80</v>
      </c>
      <c r="B359" s="212" t="s">
        <v>446</v>
      </c>
      <c r="C359" s="213" t="s">
        <v>68</v>
      </c>
      <c r="D359" s="213" t="s">
        <v>72</v>
      </c>
      <c r="E359" s="210"/>
      <c r="F359" s="210"/>
      <c r="G359" s="214">
        <f t="shared" si="59"/>
        <v>500</v>
      </c>
      <c r="H359" s="214">
        <f t="shared" si="59"/>
        <v>500</v>
      </c>
      <c r="I359" s="214">
        <f t="shared" si="54"/>
        <v>0</v>
      </c>
      <c r="J359" s="214">
        <f t="shared" si="56"/>
        <v>100</v>
      </c>
      <c r="K359" s="7"/>
      <c r="L359" s="7"/>
      <c r="M359" s="7"/>
    </row>
    <row r="360" spans="1:13" s="5" customFormat="1" ht="12.75">
      <c r="A360" s="215" t="s">
        <v>137</v>
      </c>
      <c r="B360" s="212" t="s">
        <v>446</v>
      </c>
      <c r="C360" s="213" t="s">
        <v>68</v>
      </c>
      <c r="D360" s="213" t="s">
        <v>72</v>
      </c>
      <c r="E360" s="216" t="s">
        <v>138</v>
      </c>
      <c r="F360" s="210"/>
      <c r="G360" s="214">
        <f t="shared" si="59"/>
        <v>500</v>
      </c>
      <c r="H360" s="214">
        <f t="shared" si="59"/>
        <v>500</v>
      </c>
      <c r="I360" s="214">
        <f t="shared" si="54"/>
        <v>0</v>
      </c>
      <c r="J360" s="214">
        <f t="shared" si="56"/>
        <v>100</v>
      </c>
      <c r="K360" s="7"/>
      <c r="L360" s="7"/>
      <c r="M360" s="7"/>
    </row>
    <row r="361" spans="1:13" s="5" customFormat="1" ht="49.5" customHeight="1">
      <c r="A361" s="215" t="s">
        <v>182</v>
      </c>
      <c r="B361" s="212" t="s">
        <v>446</v>
      </c>
      <c r="C361" s="213" t="s">
        <v>68</v>
      </c>
      <c r="D361" s="213" t="s">
        <v>72</v>
      </c>
      <c r="E361" s="216" t="s">
        <v>139</v>
      </c>
      <c r="F361" s="210"/>
      <c r="G361" s="214">
        <f t="shared" si="59"/>
        <v>500</v>
      </c>
      <c r="H361" s="214">
        <f t="shared" si="59"/>
        <v>500</v>
      </c>
      <c r="I361" s="214">
        <f t="shared" si="54"/>
        <v>0</v>
      </c>
      <c r="J361" s="214">
        <f t="shared" si="56"/>
        <v>100</v>
      </c>
      <c r="K361" s="7"/>
      <c r="L361" s="7"/>
      <c r="M361" s="7"/>
    </row>
    <row r="362" spans="1:13" s="5" customFormat="1" ht="36" customHeight="1">
      <c r="A362" s="215" t="s">
        <v>185</v>
      </c>
      <c r="B362" s="212" t="s">
        <v>446</v>
      </c>
      <c r="C362" s="213" t="s">
        <v>68</v>
      </c>
      <c r="D362" s="213" t="s">
        <v>72</v>
      </c>
      <c r="E362" s="216" t="s">
        <v>139</v>
      </c>
      <c r="F362" s="210">
        <v>724</v>
      </c>
      <c r="G362" s="214">
        <v>500</v>
      </c>
      <c r="H362" s="214">
        <v>500</v>
      </c>
      <c r="I362" s="214">
        <f t="shared" si="54"/>
        <v>0</v>
      </c>
      <c r="J362" s="214">
        <f t="shared" si="56"/>
        <v>100</v>
      </c>
      <c r="K362" s="7"/>
      <c r="L362" s="7"/>
      <c r="M362" s="7"/>
    </row>
    <row r="363" spans="1:13" s="5" customFormat="1" ht="36" customHeight="1">
      <c r="A363" s="207" t="s">
        <v>361</v>
      </c>
      <c r="B363" s="202" t="s">
        <v>206</v>
      </c>
      <c r="C363" s="213"/>
      <c r="D363" s="213"/>
      <c r="E363" s="210"/>
      <c r="F363" s="210"/>
      <c r="G363" s="208">
        <f>G364</f>
        <v>2752.1</v>
      </c>
      <c r="H363" s="208">
        <f>H364</f>
        <v>2748.2999999999997</v>
      </c>
      <c r="I363" s="208">
        <f t="shared" si="54"/>
        <v>3.800000000000182</v>
      </c>
      <c r="J363" s="208">
        <f t="shared" si="56"/>
        <v>99.8619236219614</v>
      </c>
      <c r="K363" s="180"/>
      <c r="L363" s="7"/>
      <c r="M363" s="7"/>
    </row>
    <row r="364" spans="1:13" s="5" customFormat="1" ht="39" customHeight="1">
      <c r="A364" s="207" t="s">
        <v>290</v>
      </c>
      <c r="B364" s="202" t="s">
        <v>453</v>
      </c>
      <c r="C364" s="213"/>
      <c r="D364" s="213"/>
      <c r="E364" s="210"/>
      <c r="F364" s="210"/>
      <c r="G364" s="208">
        <f>G365+G390+G410+G434+G446</f>
        <v>2752.1</v>
      </c>
      <c r="H364" s="208">
        <f>H365+H390+H410+H434+H446</f>
        <v>2748.2999999999997</v>
      </c>
      <c r="I364" s="208">
        <f t="shared" si="54"/>
        <v>3.800000000000182</v>
      </c>
      <c r="J364" s="208">
        <f t="shared" si="56"/>
        <v>99.8619236219614</v>
      </c>
      <c r="K364" s="180"/>
      <c r="L364" s="7"/>
      <c r="M364" s="7"/>
    </row>
    <row r="365" spans="1:13" s="5" customFormat="1" ht="22.5" customHeight="1">
      <c r="A365" s="207" t="s">
        <v>205</v>
      </c>
      <c r="B365" s="202" t="s">
        <v>454</v>
      </c>
      <c r="C365" s="213"/>
      <c r="D365" s="213"/>
      <c r="E365" s="210"/>
      <c r="F365" s="210"/>
      <c r="G365" s="208">
        <f>G366+G378+G384</f>
        <v>1792.1999999999998</v>
      </c>
      <c r="H365" s="208">
        <f>H366+H378+H384</f>
        <v>1788.6</v>
      </c>
      <c r="I365" s="208">
        <f t="shared" si="54"/>
        <v>3.599999999999909</v>
      </c>
      <c r="J365" s="208">
        <f t="shared" si="56"/>
        <v>99.79912956143288</v>
      </c>
      <c r="K365" s="180"/>
      <c r="L365" s="7"/>
      <c r="M365" s="7"/>
    </row>
    <row r="366" spans="1:13" s="5" customFormat="1" ht="12.75">
      <c r="A366" s="207" t="s">
        <v>8</v>
      </c>
      <c r="B366" s="202" t="s">
        <v>454</v>
      </c>
      <c r="C366" s="209" t="s">
        <v>69</v>
      </c>
      <c r="D366" s="209" t="s">
        <v>36</v>
      </c>
      <c r="E366" s="210"/>
      <c r="F366" s="210"/>
      <c r="G366" s="208">
        <f>G367+G372</f>
        <v>1510.6999999999998</v>
      </c>
      <c r="H366" s="208">
        <f>H367+H372</f>
        <v>1510.3</v>
      </c>
      <c r="I366" s="208">
        <f t="shared" si="54"/>
        <v>0.3999999999998636</v>
      </c>
      <c r="J366" s="208">
        <f t="shared" si="56"/>
        <v>99.97352220824784</v>
      </c>
      <c r="K366" s="7"/>
      <c r="L366" s="7"/>
      <c r="M366" s="7"/>
    </row>
    <row r="367" spans="1:13" s="5" customFormat="1" ht="12.75">
      <c r="A367" s="211" t="s">
        <v>9</v>
      </c>
      <c r="B367" s="212" t="s">
        <v>454</v>
      </c>
      <c r="C367" s="213" t="s">
        <v>69</v>
      </c>
      <c r="D367" s="213" t="s">
        <v>66</v>
      </c>
      <c r="E367" s="210"/>
      <c r="F367" s="210"/>
      <c r="G367" s="214">
        <f aca="true" t="shared" si="60" ref="G367:H370">G368</f>
        <v>433.6</v>
      </c>
      <c r="H367" s="214">
        <f t="shared" si="60"/>
        <v>433.5</v>
      </c>
      <c r="I367" s="214">
        <f t="shared" si="54"/>
        <v>0.10000000000002274</v>
      </c>
      <c r="J367" s="214">
        <f t="shared" si="56"/>
        <v>99.97693726937268</v>
      </c>
      <c r="K367" s="7"/>
      <c r="L367" s="7"/>
      <c r="M367" s="7"/>
    </row>
    <row r="368" spans="1:13" s="5" customFormat="1" ht="24" customHeight="1">
      <c r="A368" s="215" t="s">
        <v>114</v>
      </c>
      <c r="B368" s="212" t="s">
        <v>454</v>
      </c>
      <c r="C368" s="213" t="s">
        <v>69</v>
      </c>
      <c r="D368" s="213" t="s">
        <v>66</v>
      </c>
      <c r="E368" s="216" t="s">
        <v>115</v>
      </c>
      <c r="F368" s="210"/>
      <c r="G368" s="214">
        <f t="shared" si="60"/>
        <v>433.6</v>
      </c>
      <c r="H368" s="214">
        <f t="shared" si="60"/>
        <v>433.5</v>
      </c>
      <c r="I368" s="214">
        <f t="shared" si="54"/>
        <v>0.10000000000002274</v>
      </c>
      <c r="J368" s="214">
        <f t="shared" si="56"/>
        <v>99.97693726937268</v>
      </c>
      <c r="K368" s="7"/>
      <c r="L368" s="7"/>
      <c r="M368" s="7"/>
    </row>
    <row r="369" spans="1:13" s="5" customFormat="1" ht="12.75">
      <c r="A369" s="215" t="s">
        <v>120</v>
      </c>
      <c r="B369" s="212" t="s">
        <v>454</v>
      </c>
      <c r="C369" s="213" t="s">
        <v>69</v>
      </c>
      <c r="D369" s="213" t="s">
        <v>66</v>
      </c>
      <c r="E369" s="216" t="s">
        <v>121</v>
      </c>
      <c r="F369" s="210"/>
      <c r="G369" s="214">
        <f t="shared" si="60"/>
        <v>433.6</v>
      </c>
      <c r="H369" s="214">
        <f t="shared" si="60"/>
        <v>433.5</v>
      </c>
      <c r="I369" s="214">
        <f t="shared" si="54"/>
        <v>0.10000000000002274</v>
      </c>
      <c r="J369" s="214">
        <f t="shared" si="56"/>
        <v>99.97693726937268</v>
      </c>
      <c r="K369" s="7"/>
      <c r="L369" s="7"/>
      <c r="M369" s="7"/>
    </row>
    <row r="370" spans="1:13" s="5" customFormat="1" ht="12.75">
      <c r="A370" s="215" t="s">
        <v>124</v>
      </c>
      <c r="B370" s="212" t="s">
        <v>454</v>
      </c>
      <c r="C370" s="213" t="s">
        <v>69</v>
      </c>
      <c r="D370" s="213" t="s">
        <v>66</v>
      </c>
      <c r="E370" s="216" t="s">
        <v>125</v>
      </c>
      <c r="F370" s="210"/>
      <c r="G370" s="214">
        <f t="shared" si="60"/>
        <v>433.6</v>
      </c>
      <c r="H370" s="214">
        <f t="shared" si="60"/>
        <v>433.5</v>
      </c>
      <c r="I370" s="214">
        <f t="shared" si="54"/>
        <v>0.10000000000002274</v>
      </c>
      <c r="J370" s="214">
        <f t="shared" si="56"/>
        <v>99.97693726937268</v>
      </c>
      <c r="K370" s="7"/>
      <c r="L370" s="7"/>
      <c r="M370" s="7"/>
    </row>
    <row r="371" spans="1:13" s="5" customFormat="1" ht="23.25" customHeight="1">
      <c r="A371" s="211" t="s">
        <v>172</v>
      </c>
      <c r="B371" s="212" t="s">
        <v>454</v>
      </c>
      <c r="C371" s="213" t="s">
        <v>69</v>
      </c>
      <c r="D371" s="213" t="s">
        <v>66</v>
      </c>
      <c r="E371" s="216" t="s">
        <v>125</v>
      </c>
      <c r="F371" s="210">
        <v>725</v>
      </c>
      <c r="G371" s="214">
        <f>213+11.2+26.4+61+61+61</f>
        <v>433.6</v>
      </c>
      <c r="H371" s="214">
        <v>433.5</v>
      </c>
      <c r="I371" s="214">
        <f t="shared" si="54"/>
        <v>0.10000000000002274</v>
      </c>
      <c r="J371" s="214">
        <f t="shared" si="56"/>
        <v>99.97693726937268</v>
      </c>
      <c r="K371" s="7"/>
      <c r="L371" s="7"/>
      <c r="M371" s="7"/>
    </row>
    <row r="372" spans="1:13" s="5" customFormat="1" ht="12.75">
      <c r="A372" s="211" t="s">
        <v>875</v>
      </c>
      <c r="B372" s="212" t="s">
        <v>454</v>
      </c>
      <c r="C372" s="213" t="s">
        <v>69</v>
      </c>
      <c r="D372" s="213" t="s">
        <v>67</v>
      </c>
      <c r="E372" s="210"/>
      <c r="F372" s="210"/>
      <c r="G372" s="214">
        <f aca="true" t="shared" si="61" ref="G372:H374">G373</f>
        <v>1077.1</v>
      </c>
      <c r="H372" s="214">
        <f t="shared" si="61"/>
        <v>1076.8</v>
      </c>
      <c r="I372" s="214">
        <f t="shared" si="54"/>
        <v>0.2999999999999545</v>
      </c>
      <c r="J372" s="214">
        <f t="shared" si="56"/>
        <v>99.97214743292174</v>
      </c>
      <c r="K372" s="7"/>
      <c r="L372" s="7"/>
      <c r="M372" s="7"/>
    </row>
    <row r="373" spans="1:13" s="5" customFormat="1" ht="23.25" customHeight="1">
      <c r="A373" s="215" t="s">
        <v>114</v>
      </c>
      <c r="B373" s="212" t="s">
        <v>454</v>
      </c>
      <c r="C373" s="213" t="s">
        <v>69</v>
      </c>
      <c r="D373" s="213" t="s">
        <v>67</v>
      </c>
      <c r="E373" s="216" t="s">
        <v>115</v>
      </c>
      <c r="F373" s="210"/>
      <c r="G373" s="214">
        <f t="shared" si="61"/>
        <v>1077.1</v>
      </c>
      <c r="H373" s="214">
        <f t="shared" si="61"/>
        <v>1076.8</v>
      </c>
      <c r="I373" s="214">
        <f t="shared" si="54"/>
        <v>0.2999999999999545</v>
      </c>
      <c r="J373" s="214">
        <f t="shared" si="56"/>
        <v>99.97214743292174</v>
      </c>
      <c r="K373" s="7"/>
      <c r="L373" s="7"/>
      <c r="M373" s="7"/>
    </row>
    <row r="374" spans="1:13" s="5" customFormat="1" ht="12.75">
      <c r="A374" s="215" t="s">
        <v>120</v>
      </c>
      <c r="B374" s="212" t="s">
        <v>454</v>
      </c>
      <c r="C374" s="213" t="s">
        <v>69</v>
      </c>
      <c r="D374" s="213" t="s">
        <v>67</v>
      </c>
      <c r="E374" s="216" t="s">
        <v>121</v>
      </c>
      <c r="F374" s="210"/>
      <c r="G374" s="214">
        <f t="shared" si="61"/>
        <v>1077.1</v>
      </c>
      <c r="H374" s="214">
        <f t="shared" si="61"/>
        <v>1076.8</v>
      </c>
      <c r="I374" s="214">
        <f t="shared" si="54"/>
        <v>0.2999999999999545</v>
      </c>
      <c r="J374" s="214">
        <f t="shared" si="56"/>
        <v>99.97214743292174</v>
      </c>
      <c r="K374" s="7"/>
      <c r="L374" s="7"/>
      <c r="M374" s="7"/>
    </row>
    <row r="375" spans="1:13" s="5" customFormat="1" ht="12.75">
      <c r="A375" s="215" t="s">
        <v>124</v>
      </c>
      <c r="B375" s="212" t="s">
        <v>454</v>
      </c>
      <c r="C375" s="213" t="s">
        <v>69</v>
      </c>
      <c r="D375" s="213" t="s">
        <v>67</v>
      </c>
      <c r="E375" s="216" t="s">
        <v>125</v>
      </c>
      <c r="F375" s="210"/>
      <c r="G375" s="214">
        <f>G376+G377</f>
        <v>1077.1</v>
      </c>
      <c r="H375" s="214">
        <f>H376+H377</f>
        <v>1076.8</v>
      </c>
      <c r="I375" s="214">
        <f t="shared" si="54"/>
        <v>0.2999999999999545</v>
      </c>
      <c r="J375" s="214">
        <f t="shared" si="56"/>
        <v>99.97214743292174</v>
      </c>
      <c r="K375" s="7"/>
      <c r="L375" s="7"/>
      <c r="M375" s="7"/>
    </row>
    <row r="376" spans="1:13" s="5" customFormat="1" ht="23.25" customHeight="1">
      <c r="A376" s="211" t="s">
        <v>172</v>
      </c>
      <c r="B376" s="212" t="s">
        <v>454</v>
      </c>
      <c r="C376" s="213" t="s">
        <v>69</v>
      </c>
      <c r="D376" s="213" t="s">
        <v>67</v>
      </c>
      <c r="E376" s="216" t="s">
        <v>125</v>
      </c>
      <c r="F376" s="210">
        <v>725</v>
      </c>
      <c r="G376" s="214">
        <f>72+141.6+92.8+50.4+85.6+61+61+61+61+61+202.4</f>
        <v>949.8</v>
      </c>
      <c r="H376" s="214">
        <v>949.5</v>
      </c>
      <c r="I376" s="214">
        <f t="shared" si="54"/>
        <v>0.2999999999999545</v>
      </c>
      <c r="J376" s="214">
        <f t="shared" si="56"/>
        <v>99.96841440303223</v>
      </c>
      <c r="K376" s="7"/>
      <c r="L376" s="7"/>
      <c r="M376" s="7"/>
    </row>
    <row r="377" spans="1:13" s="5" customFormat="1" ht="24.75" customHeight="1">
      <c r="A377" s="211" t="s">
        <v>173</v>
      </c>
      <c r="B377" s="212" t="s">
        <v>454</v>
      </c>
      <c r="C377" s="213" t="s">
        <v>69</v>
      </c>
      <c r="D377" s="213" t="s">
        <v>67</v>
      </c>
      <c r="E377" s="216" t="s">
        <v>125</v>
      </c>
      <c r="F377" s="210">
        <v>726</v>
      </c>
      <c r="G377" s="214">
        <f>70+65-7.7</f>
        <v>127.3</v>
      </c>
      <c r="H377" s="214">
        <v>127.3</v>
      </c>
      <c r="I377" s="214">
        <f t="shared" si="54"/>
        <v>0</v>
      </c>
      <c r="J377" s="214">
        <f t="shared" si="56"/>
        <v>100</v>
      </c>
      <c r="K377" s="7"/>
      <c r="L377" s="7"/>
      <c r="M377" s="7"/>
    </row>
    <row r="378" spans="1:13" s="5" customFormat="1" ht="12.75">
      <c r="A378" s="207" t="s">
        <v>878</v>
      </c>
      <c r="B378" s="202" t="s">
        <v>454</v>
      </c>
      <c r="C378" s="209" t="s">
        <v>73</v>
      </c>
      <c r="D378" s="209" t="s">
        <v>36</v>
      </c>
      <c r="E378" s="201"/>
      <c r="F378" s="201"/>
      <c r="G378" s="208">
        <f aca="true" t="shared" si="62" ref="G378:H382">G379</f>
        <v>142.6</v>
      </c>
      <c r="H378" s="208">
        <f t="shared" si="62"/>
        <v>142.6</v>
      </c>
      <c r="I378" s="208">
        <f t="shared" si="54"/>
        <v>0</v>
      </c>
      <c r="J378" s="208">
        <f t="shared" si="56"/>
        <v>100</v>
      </c>
      <c r="K378" s="7"/>
      <c r="L378" s="7"/>
      <c r="M378" s="7"/>
    </row>
    <row r="379" spans="1:13" s="5" customFormat="1" ht="12.75">
      <c r="A379" s="211" t="s">
        <v>12</v>
      </c>
      <c r="B379" s="212" t="s">
        <v>454</v>
      </c>
      <c r="C379" s="213" t="s">
        <v>73</v>
      </c>
      <c r="D379" s="213" t="s">
        <v>66</v>
      </c>
      <c r="E379" s="210"/>
      <c r="F379" s="210"/>
      <c r="G379" s="214">
        <f t="shared" si="62"/>
        <v>142.6</v>
      </c>
      <c r="H379" s="214">
        <f t="shared" si="62"/>
        <v>142.6</v>
      </c>
      <c r="I379" s="214">
        <f t="shared" si="54"/>
        <v>0</v>
      </c>
      <c r="J379" s="214">
        <f t="shared" si="56"/>
        <v>100</v>
      </c>
      <c r="K379" s="7"/>
      <c r="L379" s="7"/>
      <c r="M379" s="7"/>
    </row>
    <row r="380" spans="1:13" s="5" customFormat="1" ht="25.5" customHeight="1">
      <c r="A380" s="215" t="s">
        <v>114</v>
      </c>
      <c r="B380" s="212" t="s">
        <v>454</v>
      </c>
      <c r="C380" s="213" t="s">
        <v>73</v>
      </c>
      <c r="D380" s="213" t="s">
        <v>66</v>
      </c>
      <c r="E380" s="216" t="s">
        <v>115</v>
      </c>
      <c r="F380" s="210"/>
      <c r="G380" s="214">
        <f t="shared" si="62"/>
        <v>142.6</v>
      </c>
      <c r="H380" s="214">
        <f t="shared" si="62"/>
        <v>142.6</v>
      </c>
      <c r="I380" s="214">
        <f t="shared" si="54"/>
        <v>0</v>
      </c>
      <c r="J380" s="214">
        <f t="shared" si="56"/>
        <v>100</v>
      </c>
      <c r="K380" s="7"/>
      <c r="L380" s="7"/>
      <c r="M380" s="7"/>
    </row>
    <row r="381" spans="1:13" s="5" customFormat="1" ht="12.75">
      <c r="A381" s="215" t="s">
        <v>120</v>
      </c>
      <c r="B381" s="212" t="s">
        <v>454</v>
      </c>
      <c r="C381" s="213" t="s">
        <v>73</v>
      </c>
      <c r="D381" s="213" t="s">
        <v>66</v>
      </c>
      <c r="E381" s="216" t="s">
        <v>121</v>
      </c>
      <c r="F381" s="210"/>
      <c r="G381" s="214">
        <f t="shared" si="62"/>
        <v>142.6</v>
      </c>
      <c r="H381" s="214">
        <f t="shared" si="62"/>
        <v>142.6</v>
      </c>
      <c r="I381" s="214">
        <f t="shared" si="54"/>
        <v>0</v>
      </c>
      <c r="J381" s="214">
        <f t="shared" si="56"/>
        <v>100</v>
      </c>
      <c r="K381" s="7"/>
      <c r="L381" s="7"/>
      <c r="M381" s="7"/>
    </row>
    <row r="382" spans="1:13" s="5" customFormat="1" ht="12.75">
      <c r="A382" s="215" t="s">
        <v>124</v>
      </c>
      <c r="B382" s="212" t="s">
        <v>454</v>
      </c>
      <c r="C382" s="213" t="s">
        <v>73</v>
      </c>
      <c r="D382" s="213" t="s">
        <v>66</v>
      </c>
      <c r="E382" s="216" t="s">
        <v>125</v>
      </c>
      <c r="F382" s="210"/>
      <c r="G382" s="214">
        <f t="shared" si="62"/>
        <v>142.6</v>
      </c>
      <c r="H382" s="214">
        <f t="shared" si="62"/>
        <v>142.6</v>
      </c>
      <c r="I382" s="214">
        <f t="shared" si="54"/>
        <v>0</v>
      </c>
      <c r="J382" s="214">
        <f t="shared" si="56"/>
        <v>100</v>
      </c>
      <c r="K382" s="7"/>
      <c r="L382" s="7"/>
      <c r="M382" s="7"/>
    </row>
    <row r="383" spans="1:13" s="5" customFormat="1" ht="24" customHeight="1">
      <c r="A383" s="211" t="s">
        <v>173</v>
      </c>
      <c r="B383" s="212" t="s">
        <v>454</v>
      </c>
      <c r="C383" s="213" t="s">
        <v>73</v>
      </c>
      <c r="D383" s="213" t="s">
        <v>66</v>
      </c>
      <c r="E383" s="216" t="s">
        <v>125</v>
      </c>
      <c r="F383" s="210">
        <v>726</v>
      </c>
      <c r="G383" s="214">
        <f>80+80-17.4</f>
        <v>142.6</v>
      </c>
      <c r="H383" s="214">
        <v>142.6</v>
      </c>
      <c r="I383" s="214">
        <f t="shared" si="54"/>
        <v>0</v>
      </c>
      <c r="J383" s="214">
        <f t="shared" si="56"/>
        <v>100</v>
      </c>
      <c r="K383" s="7"/>
      <c r="L383" s="7"/>
      <c r="M383" s="7"/>
    </row>
    <row r="384" spans="1:13" s="5" customFormat="1" ht="12.75">
      <c r="A384" s="207" t="s">
        <v>85</v>
      </c>
      <c r="B384" s="202" t="s">
        <v>454</v>
      </c>
      <c r="C384" s="209" t="s">
        <v>74</v>
      </c>
      <c r="D384" s="209" t="s">
        <v>36</v>
      </c>
      <c r="E384" s="201"/>
      <c r="F384" s="201"/>
      <c r="G384" s="208">
        <f aca="true" t="shared" si="63" ref="G384:H388">G385</f>
        <v>138.9</v>
      </c>
      <c r="H384" s="208">
        <f t="shared" si="63"/>
        <v>135.7</v>
      </c>
      <c r="I384" s="208">
        <f t="shared" si="54"/>
        <v>3.200000000000017</v>
      </c>
      <c r="J384" s="208">
        <f t="shared" si="56"/>
        <v>97.69618430525556</v>
      </c>
      <c r="K384" s="7"/>
      <c r="L384" s="7"/>
      <c r="M384" s="7"/>
    </row>
    <row r="385" spans="1:13" s="5" customFormat="1" ht="12.75">
      <c r="A385" s="211" t="s">
        <v>86</v>
      </c>
      <c r="B385" s="212" t="s">
        <v>454</v>
      </c>
      <c r="C385" s="213" t="s">
        <v>74</v>
      </c>
      <c r="D385" s="213" t="s">
        <v>66</v>
      </c>
      <c r="E385" s="210"/>
      <c r="F385" s="210"/>
      <c r="G385" s="214">
        <f t="shared" si="63"/>
        <v>138.9</v>
      </c>
      <c r="H385" s="214">
        <f t="shared" si="63"/>
        <v>135.7</v>
      </c>
      <c r="I385" s="214">
        <f t="shared" si="54"/>
        <v>3.200000000000017</v>
      </c>
      <c r="J385" s="214">
        <f t="shared" si="56"/>
        <v>97.69618430525556</v>
      </c>
      <c r="K385" s="7"/>
      <c r="L385" s="7"/>
      <c r="M385" s="7"/>
    </row>
    <row r="386" spans="1:13" s="5" customFormat="1" ht="21.75" customHeight="1">
      <c r="A386" s="215" t="s">
        <v>114</v>
      </c>
      <c r="B386" s="212" t="s">
        <v>454</v>
      </c>
      <c r="C386" s="213" t="s">
        <v>74</v>
      </c>
      <c r="D386" s="213" t="s">
        <v>66</v>
      </c>
      <c r="E386" s="216" t="s">
        <v>115</v>
      </c>
      <c r="F386" s="210"/>
      <c r="G386" s="214">
        <f t="shared" si="63"/>
        <v>138.9</v>
      </c>
      <c r="H386" s="214">
        <f t="shared" si="63"/>
        <v>135.7</v>
      </c>
      <c r="I386" s="214">
        <f t="shared" si="54"/>
        <v>3.200000000000017</v>
      </c>
      <c r="J386" s="214">
        <f t="shared" si="56"/>
        <v>97.69618430525556</v>
      </c>
      <c r="K386" s="7"/>
      <c r="L386" s="7"/>
      <c r="M386" s="7"/>
    </row>
    <row r="387" spans="1:13" s="5" customFormat="1" ht="12.75">
      <c r="A387" s="215" t="s">
        <v>120</v>
      </c>
      <c r="B387" s="212" t="s">
        <v>454</v>
      </c>
      <c r="C387" s="213" t="s">
        <v>74</v>
      </c>
      <c r="D387" s="213" t="s">
        <v>66</v>
      </c>
      <c r="E387" s="216" t="s">
        <v>121</v>
      </c>
      <c r="F387" s="210"/>
      <c r="G387" s="214">
        <f t="shared" si="63"/>
        <v>138.9</v>
      </c>
      <c r="H387" s="214">
        <f t="shared" si="63"/>
        <v>135.7</v>
      </c>
      <c r="I387" s="214">
        <f t="shared" si="54"/>
        <v>3.200000000000017</v>
      </c>
      <c r="J387" s="214">
        <f t="shared" si="56"/>
        <v>97.69618430525556</v>
      </c>
      <c r="K387" s="7"/>
      <c r="L387" s="7"/>
      <c r="M387" s="7"/>
    </row>
    <row r="388" spans="1:13" s="5" customFormat="1" ht="12.75" customHeight="1">
      <c r="A388" s="215" t="s">
        <v>124</v>
      </c>
      <c r="B388" s="212" t="s">
        <v>454</v>
      </c>
      <c r="C388" s="213" t="s">
        <v>74</v>
      </c>
      <c r="D388" s="213" t="s">
        <v>66</v>
      </c>
      <c r="E388" s="216" t="s">
        <v>125</v>
      </c>
      <c r="F388" s="210"/>
      <c r="G388" s="214">
        <f t="shared" si="63"/>
        <v>138.9</v>
      </c>
      <c r="H388" s="214">
        <f t="shared" si="63"/>
        <v>135.7</v>
      </c>
      <c r="I388" s="214">
        <f t="shared" si="54"/>
        <v>3.200000000000017</v>
      </c>
      <c r="J388" s="214">
        <f t="shared" si="56"/>
        <v>97.69618430525556</v>
      </c>
      <c r="K388" s="7"/>
      <c r="L388" s="7"/>
      <c r="M388" s="7"/>
    </row>
    <row r="389" spans="1:13" s="5" customFormat="1" ht="33.75">
      <c r="A389" s="211" t="s">
        <v>173</v>
      </c>
      <c r="B389" s="212" t="s">
        <v>454</v>
      </c>
      <c r="C389" s="213" t="s">
        <v>74</v>
      </c>
      <c r="D389" s="213" t="s">
        <v>66</v>
      </c>
      <c r="E389" s="216" t="s">
        <v>125</v>
      </c>
      <c r="F389" s="210">
        <v>726</v>
      </c>
      <c r="G389" s="214">
        <f>80+70-11.1</f>
        <v>138.9</v>
      </c>
      <c r="H389" s="214">
        <v>135.7</v>
      </c>
      <c r="I389" s="214">
        <f t="shared" si="54"/>
        <v>3.200000000000017</v>
      </c>
      <c r="J389" s="214">
        <f t="shared" si="56"/>
        <v>97.69618430525556</v>
      </c>
      <c r="K389" s="7"/>
      <c r="L389" s="7"/>
      <c r="M389" s="7"/>
    </row>
    <row r="390" spans="1:13" s="5" customFormat="1" ht="22.5" customHeight="1">
      <c r="A390" s="207" t="s">
        <v>213</v>
      </c>
      <c r="B390" s="202" t="s">
        <v>461</v>
      </c>
      <c r="C390" s="209"/>
      <c r="D390" s="209"/>
      <c r="E390" s="217"/>
      <c r="F390" s="201"/>
      <c r="G390" s="208">
        <f>G391+G398+G404</f>
        <v>365.7</v>
      </c>
      <c r="H390" s="208">
        <f>H391+H398+H404</f>
        <v>365.7</v>
      </c>
      <c r="I390" s="208">
        <f t="shared" si="54"/>
        <v>0</v>
      </c>
      <c r="J390" s="208">
        <f t="shared" si="56"/>
        <v>100</v>
      </c>
      <c r="K390" s="7"/>
      <c r="L390" s="7"/>
      <c r="M390" s="7"/>
    </row>
    <row r="391" spans="1:13" s="5" customFormat="1" ht="12.75">
      <c r="A391" s="207" t="s">
        <v>8</v>
      </c>
      <c r="B391" s="202" t="s">
        <v>461</v>
      </c>
      <c r="C391" s="209" t="s">
        <v>69</v>
      </c>
      <c r="D391" s="209" t="s">
        <v>36</v>
      </c>
      <c r="E391" s="216"/>
      <c r="F391" s="210"/>
      <c r="G391" s="208">
        <f aca="true" t="shared" si="64" ref="G391:H394">G392</f>
        <v>155.7</v>
      </c>
      <c r="H391" s="208">
        <f t="shared" si="64"/>
        <v>155.7</v>
      </c>
      <c r="I391" s="208">
        <f t="shared" si="54"/>
        <v>0</v>
      </c>
      <c r="J391" s="208">
        <f t="shared" si="56"/>
        <v>100</v>
      </c>
      <c r="K391" s="7"/>
      <c r="L391" s="7"/>
      <c r="M391" s="7"/>
    </row>
    <row r="392" spans="1:13" s="5" customFormat="1" ht="12.75">
      <c r="A392" s="211" t="s">
        <v>875</v>
      </c>
      <c r="B392" s="212" t="s">
        <v>461</v>
      </c>
      <c r="C392" s="213" t="s">
        <v>69</v>
      </c>
      <c r="D392" s="213" t="s">
        <v>67</v>
      </c>
      <c r="E392" s="210"/>
      <c r="F392" s="210"/>
      <c r="G392" s="214">
        <f t="shared" si="64"/>
        <v>155.7</v>
      </c>
      <c r="H392" s="214">
        <f t="shared" si="64"/>
        <v>155.7</v>
      </c>
      <c r="I392" s="214">
        <f t="shared" si="54"/>
        <v>0</v>
      </c>
      <c r="J392" s="214">
        <f t="shared" si="56"/>
        <v>100</v>
      </c>
      <c r="K392" s="7"/>
      <c r="L392" s="7"/>
      <c r="M392" s="7"/>
    </row>
    <row r="393" spans="1:13" s="5" customFormat="1" ht="35.25" customHeight="1">
      <c r="A393" s="215" t="s">
        <v>114</v>
      </c>
      <c r="B393" s="212" t="s">
        <v>461</v>
      </c>
      <c r="C393" s="213" t="s">
        <v>69</v>
      </c>
      <c r="D393" s="213" t="s">
        <v>67</v>
      </c>
      <c r="E393" s="216" t="s">
        <v>115</v>
      </c>
      <c r="F393" s="210"/>
      <c r="G393" s="214">
        <f t="shared" si="64"/>
        <v>155.7</v>
      </c>
      <c r="H393" s="214">
        <f t="shared" si="64"/>
        <v>155.7</v>
      </c>
      <c r="I393" s="214">
        <f aca="true" t="shared" si="65" ref="I393:I456">G393-H393</f>
        <v>0</v>
      </c>
      <c r="J393" s="214">
        <f t="shared" si="56"/>
        <v>100</v>
      </c>
      <c r="K393" s="7"/>
      <c r="L393" s="7"/>
      <c r="M393" s="7"/>
    </row>
    <row r="394" spans="1:13" s="5" customFormat="1" ht="12.75">
      <c r="A394" s="215" t="s">
        <v>120</v>
      </c>
      <c r="B394" s="212" t="s">
        <v>461</v>
      </c>
      <c r="C394" s="213" t="s">
        <v>69</v>
      </c>
      <c r="D394" s="213" t="s">
        <v>67</v>
      </c>
      <c r="E394" s="216" t="s">
        <v>121</v>
      </c>
      <c r="F394" s="210"/>
      <c r="G394" s="214">
        <f t="shared" si="64"/>
        <v>155.7</v>
      </c>
      <c r="H394" s="214">
        <f t="shared" si="64"/>
        <v>155.7</v>
      </c>
      <c r="I394" s="214">
        <f t="shared" si="65"/>
        <v>0</v>
      </c>
      <c r="J394" s="214">
        <f t="shared" si="56"/>
        <v>100</v>
      </c>
      <c r="K394" s="7"/>
      <c r="L394" s="7"/>
      <c r="M394" s="7"/>
    </row>
    <row r="395" spans="1:13" s="5" customFormat="1" ht="12.75">
      <c r="A395" s="215" t="s">
        <v>124</v>
      </c>
      <c r="B395" s="212" t="s">
        <v>461</v>
      </c>
      <c r="C395" s="213" t="s">
        <v>69</v>
      </c>
      <c r="D395" s="213" t="s">
        <v>67</v>
      </c>
      <c r="E395" s="216" t="s">
        <v>125</v>
      </c>
      <c r="F395" s="210"/>
      <c r="G395" s="214">
        <f>G396+G397</f>
        <v>155.7</v>
      </c>
      <c r="H395" s="214">
        <f>H396+H397</f>
        <v>155.7</v>
      </c>
      <c r="I395" s="214">
        <f t="shared" si="65"/>
        <v>0</v>
      </c>
      <c r="J395" s="214">
        <f t="shared" si="56"/>
        <v>100</v>
      </c>
      <c r="K395" s="7"/>
      <c r="L395" s="7"/>
      <c r="M395" s="7"/>
    </row>
    <row r="396" spans="1:13" s="5" customFormat="1" ht="22.5">
      <c r="A396" s="211" t="s">
        <v>172</v>
      </c>
      <c r="B396" s="212" t="s">
        <v>461</v>
      </c>
      <c r="C396" s="213" t="s">
        <v>69</v>
      </c>
      <c r="D396" s="213" t="s">
        <v>67</v>
      </c>
      <c r="E396" s="216" t="s">
        <v>125</v>
      </c>
      <c r="F396" s="210">
        <v>725</v>
      </c>
      <c r="G396" s="214">
        <f>71+29.7</f>
        <v>100.7</v>
      </c>
      <c r="H396" s="214">
        <v>100.7</v>
      </c>
      <c r="I396" s="214">
        <f t="shared" si="65"/>
        <v>0</v>
      </c>
      <c r="J396" s="214">
        <f t="shared" si="56"/>
        <v>100</v>
      </c>
      <c r="K396" s="7"/>
      <c r="L396" s="7"/>
      <c r="M396" s="7"/>
    </row>
    <row r="397" spans="1:13" s="5" customFormat="1" ht="33.75">
      <c r="A397" s="211" t="s">
        <v>173</v>
      </c>
      <c r="B397" s="212" t="s">
        <v>461</v>
      </c>
      <c r="C397" s="213" t="s">
        <v>69</v>
      </c>
      <c r="D397" s="213" t="s">
        <v>67</v>
      </c>
      <c r="E397" s="216" t="s">
        <v>125</v>
      </c>
      <c r="F397" s="210">
        <v>726</v>
      </c>
      <c r="G397" s="214">
        <f>20+35</f>
        <v>55</v>
      </c>
      <c r="H397" s="214">
        <v>55</v>
      </c>
      <c r="I397" s="214">
        <f t="shared" si="65"/>
        <v>0</v>
      </c>
      <c r="J397" s="214">
        <f t="shared" si="56"/>
        <v>100</v>
      </c>
      <c r="K397" s="7"/>
      <c r="L397" s="7"/>
      <c r="M397" s="7"/>
    </row>
    <row r="398" spans="1:13" s="5" customFormat="1" ht="12.75">
      <c r="A398" s="207" t="s">
        <v>878</v>
      </c>
      <c r="B398" s="202" t="s">
        <v>461</v>
      </c>
      <c r="C398" s="209" t="s">
        <v>73</v>
      </c>
      <c r="D398" s="209" t="s">
        <v>36</v>
      </c>
      <c r="E398" s="201"/>
      <c r="F398" s="201"/>
      <c r="G398" s="208">
        <f aca="true" t="shared" si="66" ref="G398:H402">G399</f>
        <v>80</v>
      </c>
      <c r="H398" s="208">
        <f t="shared" si="66"/>
        <v>80</v>
      </c>
      <c r="I398" s="208">
        <f t="shared" si="65"/>
        <v>0</v>
      </c>
      <c r="J398" s="208">
        <f aca="true" t="shared" si="67" ref="J398:J461">H398/G398*100</f>
        <v>100</v>
      </c>
      <c r="K398" s="7"/>
      <c r="L398" s="7"/>
      <c r="M398" s="7"/>
    </row>
    <row r="399" spans="1:13" s="5" customFormat="1" ht="12.75">
      <c r="A399" s="211" t="s">
        <v>12</v>
      </c>
      <c r="B399" s="212" t="s">
        <v>461</v>
      </c>
      <c r="C399" s="213" t="s">
        <v>73</v>
      </c>
      <c r="D399" s="213" t="s">
        <v>66</v>
      </c>
      <c r="E399" s="210"/>
      <c r="F399" s="210"/>
      <c r="G399" s="214">
        <f t="shared" si="66"/>
        <v>80</v>
      </c>
      <c r="H399" s="214">
        <f t="shared" si="66"/>
        <v>80</v>
      </c>
      <c r="I399" s="214">
        <f t="shared" si="65"/>
        <v>0</v>
      </c>
      <c r="J399" s="214">
        <f t="shared" si="67"/>
        <v>100</v>
      </c>
      <c r="K399" s="7"/>
      <c r="L399" s="7"/>
      <c r="M399" s="7"/>
    </row>
    <row r="400" spans="1:13" s="5" customFormat="1" ht="33.75" customHeight="1">
      <c r="A400" s="215" t="s">
        <v>114</v>
      </c>
      <c r="B400" s="212" t="s">
        <v>461</v>
      </c>
      <c r="C400" s="213" t="s">
        <v>73</v>
      </c>
      <c r="D400" s="213" t="s">
        <v>66</v>
      </c>
      <c r="E400" s="216" t="s">
        <v>115</v>
      </c>
      <c r="F400" s="210"/>
      <c r="G400" s="214">
        <f t="shared" si="66"/>
        <v>80</v>
      </c>
      <c r="H400" s="214">
        <f t="shared" si="66"/>
        <v>80</v>
      </c>
      <c r="I400" s="214">
        <f t="shared" si="65"/>
        <v>0</v>
      </c>
      <c r="J400" s="214">
        <f t="shared" si="67"/>
        <v>100</v>
      </c>
      <c r="K400" s="7"/>
      <c r="L400" s="7"/>
      <c r="M400" s="7"/>
    </row>
    <row r="401" spans="1:13" s="5" customFormat="1" ht="12.75">
      <c r="A401" s="215" t="s">
        <v>120</v>
      </c>
      <c r="B401" s="212" t="s">
        <v>461</v>
      </c>
      <c r="C401" s="213" t="s">
        <v>73</v>
      </c>
      <c r="D401" s="213" t="s">
        <v>66</v>
      </c>
      <c r="E401" s="216" t="s">
        <v>121</v>
      </c>
      <c r="F401" s="210"/>
      <c r="G401" s="214">
        <f t="shared" si="66"/>
        <v>80</v>
      </c>
      <c r="H401" s="214">
        <f t="shared" si="66"/>
        <v>80</v>
      </c>
      <c r="I401" s="214">
        <f t="shared" si="65"/>
        <v>0</v>
      </c>
      <c r="J401" s="214">
        <f t="shared" si="67"/>
        <v>100</v>
      </c>
      <c r="K401" s="7"/>
      <c r="L401" s="7"/>
      <c r="M401" s="7"/>
    </row>
    <row r="402" spans="1:13" s="5" customFormat="1" ht="12.75">
      <c r="A402" s="215" t="s">
        <v>124</v>
      </c>
      <c r="B402" s="212" t="s">
        <v>461</v>
      </c>
      <c r="C402" s="213" t="s">
        <v>73</v>
      </c>
      <c r="D402" s="213" t="s">
        <v>66</v>
      </c>
      <c r="E402" s="216" t="s">
        <v>125</v>
      </c>
      <c r="F402" s="210"/>
      <c r="G402" s="214">
        <f t="shared" si="66"/>
        <v>80</v>
      </c>
      <c r="H402" s="214">
        <f t="shared" si="66"/>
        <v>80</v>
      </c>
      <c r="I402" s="214">
        <f t="shared" si="65"/>
        <v>0</v>
      </c>
      <c r="J402" s="214">
        <f t="shared" si="67"/>
        <v>100</v>
      </c>
      <c r="K402" s="7"/>
      <c r="L402" s="7"/>
      <c r="M402" s="7"/>
    </row>
    <row r="403" spans="1:13" s="5" customFormat="1" ht="33.75">
      <c r="A403" s="211" t="s">
        <v>173</v>
      </c>
      <c r="B403" s="212" t="s">
        <v>461</v>
      </c>
      <c r="C403" s="213" t="s">
        <v>73</v>
      </c>
      <c r="D403" s="213" t="s">
        <v>66</v>
      </c>
      <c r="E403" s="216" t="s">
        <v>125</v>
      </c>
      <c r="F403" s="210">
        <v>726</v>
      </c>
      <c r="G403" s="214">
        <v>80</v>
      </c>
      <c r="H403" s="214">
        <v>80</v>
      </c>
      <c r="I403" s="214">
        <f t="shared" si="65"/>
        <v>0</v>
      </c>
      <c r="J403" s="214">
        <f t="shared" si="67"/>
        <v>100</v>
      </c>
      <c r="K403" s="7"/>
      <c r="L403" s="7"/>
      <c r="M403" s="7"/>
    </row>
    <row r="404" spans="1:13" s="5" customFormat="1" ht="12.75">
      <c r="A404" s="207" t="s">
        <v>85</v>
      </c>
      <c r="B404" s="202" t="s">
        <v>461</v>
      </c>
      <c r="C404" s="209" t="s">
        <v>74</v>
      </c>
      <c r="D404" s="209" t="s">
        <v>36</v>
      </c>
      <c r="E404" s="201"/>
      <c r="F404" s="201"/>
      <c r="G404" s="208">
        <f aca="true" t="shared" si="68" ref="G404:H408">G405</f>
        <v>130</v>
      </c>
      <c r="H404" s="208">
        <f t="shared" si="68"/>
        <v>130</v>
      </c>
      <c r="I404" s="208">
        <f t="shared" si="65"/>
        <v>0</v>
      </c>
      <c r="J404" s="208">
        <f t="shared" si="67"/>
        <v>100</v>
      </c>
      <c r="K404" s="7"/>
      <c r="L404" s="7"/>
      <c r="M404" s="7"/>
    </row>
    <row r="405" spans="1:13" s="5" customFormat="1" ht="12.75">
      <c r="A405" s="211" t="s">
        <v>86</v>
      </c>
      <c r="B405" s="212" t="s">
        <v>461</v>
      </c>
      <c r="C405" s="213" t="s">
        <v>74</v>
      </c>
      <c r="D405" s="213" t="s">
        <v>66</v>
      </c>
      <c r="E405" s="210"/>
      <c r="F405" s="210"/>
      <c r="G405" s="214">
        <f t="shared" si="68"/>
        <v>130</v>
      </c>
      <c r="H405" s="214">
        <f t="shared" si="68"/>
        <v>130</v>
      </c>
      <c r="I405" s="214">
        <f t="shared" si="65"/>
        <v>0</v>
      </c>
      <c r="J405" s="214">
        <f t="shared" si="67"/>
        <v>100</v>
      </c>
      <c r="K405" s="7"/>
      <c r="L405" s="7"/>
      <c r="M405" s="7"/>
    </row>
    <row r="406" spans="1:13" s="5" customFormat="1" ht="33.75">
      <c r="A406" s="215" t="s">
        <v>114</v>
      </c>
      <c r="B406" s="212" t="s">
        <v>461</v>
      </c>
      <c r="C406" s="213" t="s">
        <v>74</v>
      </c>
      <c r="D406" s="213" t="s">
        <v>66</v>
      </c>
      <c r="E406" s="216" t="s">
        <v>115</v>
      </c>
      <c r="F406" s="210"/>
      <c r="G406" s="214">
        <f t="shared" si="68"/>
        <v>130</v>
      </c>
      <c r="H406" s="214">
        <f t="shared" si="68"/>
        <v>130</v>
      </c>
      <c r="I406" s="214">
        <f t="shared" si="65"/>
        <v>0</v>
      </c>
      <c r="J406" s="214">
        <f t="shared" si="67"/>
        <v>100</v>
      </c>
      <c r="K406" s="7"/>
      <c r="L406" s="7"/>
      <c r="M406" s="7"/>
    </row>
    <row r="407" spans="1:13" s="5" customFormat="1" ht="12.75">
      <c r="A407" s="215" t="s">
        <v>120</v>
      </c>
      <c r="B407" s="212" t="s">
        <v>461</v>
      </c>
      <c r="C407" s="213" t="s">
        <v>74</v>
      </c>
      <c r="D407" s="213" t="s">
        <v>66</v>
      </c>
      <c r="E407" s="216" t="s">
        <v>121</v>
      </c>
      <c r="F407" s="210"/>
      <c r="G407" s="214">
        <f t="shared" si="68"/>
        <v>130</v>
      </c>
      <c r="H407" s="214">
        <f t="shared" si="68"/>
        <v>130</v>
      </c>
      <c r="I407" s="214">
        <f t="shared" si="65"/>
        <v>0</v>
      </c>
      <c r="J407" s="214">
        <f t="shared" si="67"/>
        <v>100</v>
      </c>
      <c r="K407" s="7"/>
      <c r="L407" s="7"/>
      <c r="M407" s="7"/>
    </row>
    <row r="408" spans="1:13" s="5" customFormat="1" ht="12.75">
      <c r="A408" s="215" t="s">
        <v>124</v>
      </c>
      <c r="B408" s="212" t="s">
        <v>461</v>
      </c>
      <c r="C408" s="213" t="s">
        <v>74</v>
      </c>
      <c r="D408" s="213" t="s">
        <v>66</v>
      </c>
      <c r="E408" s="216" t="s">
        <v>125</v>
      </c>
      <c r="F408" s="210"/>
      <c r="G408" s="214">
        <f t="shared" si="68"/>
        <v>130</v>
      </c>
      <c r="H408" s="214">
        <f t="shared" si="68"/>
        <v>130</v>
      </c>
      <c r="I408" s="214">
        <f t="shared" si="65"/>
        <v>0</v>
      </c>
      <c r="J408" s="214">
        <f t="shared" si="67"/>
        <v>100</v>
      </c>
      <c r="K408" s="7"/>
      <c r="L408" s="7"/>
      <c r="M408" s="7"/>
    </row>
    <row r="409" spans="1:13" s="5" customFormat="1" ht="33.75">
      <c r="A409" s="211" t="s">
        <v>173</v>
      </c>
      <c r="B409" s="212" t="s">
        <v>461</v>
      </c>
      <c r="C409" s="213" t="s">
        <v>74</v>
      </c>
      <c r="D409" s="213" t="s">
        <v>66</v>
      </c>
      <c r="E409" s="216" t="s">
        <v>125</v>
      </c>
      <c r="F409" s="210">
        <v>726</v>
      </c>
      <c r="G409" s="214">
        <v>130</v>
      </c>
      <c r="H409" s="214">
        <v>130</v>
      </c>
      <c r="I409" s="214">
        <f t="shared" si="65"/>
        <v>0</v>
      </c>
      <c r="J409" s="214">
        <f t="shared" si="67"/>
        <v>100</v>
      </c>
      <c r="K409" s="7"/>
      <c r="L409" s="7"/>
      <c r="M409" s="7"/>
    </row>
    <row r="410" spans="1:13" s="5" customFormat="1" ht="21.75" customHeight="1">
      <c r="A410" s="207" t="s">
        <v>226</v>
      </c>
      <c r="B410" s="202" t="s">
        <v>480</v>
      </c>
      <c r="C410" s="209"/>
      <c r="D410" s="209"/>
      <c r="E410" s="217"/>
      <c r="F410" s="201"/>
      <c r="G410" s="208">
        <f>G411+G417+G428</f>
        <v>32.9</v>
      </c>
      <c r="H410" s="208">
        <f>H411+H417+H428</f>
        <v>32.9</v>
      </c>
      <c r="I410" s="208">
        <f t="shared" si="65"/>
        <v>0</v>
      </c>
      <c r="J410" s="208">
        <f t="shared" si="67"/>
        <v>100</v>
      </c>
      <c r="K410" s="7"/>
      <c r="L410" s="7"/>
      <c r="M410" s="7"/>
    </row>
    <row r="411" spans="1:13" s="5" customFormat="1" ht="12.75">
      <c r="A411" s="207" t="s">
        <v>8</v>
      </c>
      <c r="B411" s="202" t="s">
        <v>480</v>
      </c>
      <c r="C411" s="209" t="s">
        <v>69</v>
      </c>
      <c r="D411" s="209" t="s">
        <v>36</v>
      </c>
      <c r="E411" s="216"/>
      <c r="F411" s="210"/>
      <c r="G411" s="214">
        <f aca="true" t="shared" si="69" ref="G411:H415">G412</f>
        <v>9</v>
      </c>
      <c r="H411" s="214">
        <f t="shared" si="69"/>
        <v>9</v>
      </c>
      <c r="I411" s="214">
        <f t="shared" si="65"/>
        <v>0</v>
      </c>
      <c r="J411" s="214">
        <f t="shared" si="67"/>
        <v>100</v>
      </c>
      <c r="K411" s="7"/>
      <c r="L411" s="7"/>
      <c r="M411" s="7"/>
    </row>
    <row r="412" spans="1:13" s="5" customFormat="1" ht="12.75">
      <c r="A412" s="215" t="s">
        <v>875</v>
      </c>
      <c r="B412" s="212" t="s">
        <v>480</v>
      </c>
      <c r="C412" s="213" t="s">
        <v>69</v>
      </c>
      <c r="D412" s="213" t="s">
        <v>67</v>
      </c>
      <c r="E412" s="216"/>
      <c r="F412" s="210"/>
      <c r="G412" s="214">
        <f t="shared" si="69"/>
        <v>9</v>
      </c>
      <c r="H412" s="214">
        <f t="shared" si="69"/>
        <v>9</v>
      </c>
      <c r="I412" s="214">
        <f t="shared" si="65"/>
        <v>0</v>
      </c>
      <c r="J412" s="214">
        <f t="shared" si="67"/>
        <v>100</v>
      </c>
      <c r="K412" s="7"/>
      <c r="L412" s="7"/>
      <c r="M412" s="7"/>
    </row>
    <row r="413" spans="1:13" s="5" customFormat="1" ht="33.75">
      <c r="A413" s="215" t="s">
        <v>114</v>
      </c>
      <c r="B413" s="212" t="s">
        <v>480</v>
      </c>
      <c r="C413" s="213" t="s">
        <v>69</v>
      </c>
      <c r="D413" s="213" t="s">
        <v>67</v>
      </c>
      <c r="E413" s="216" t="s">
        <v>115</v>
      </c>
      <c r="F413" s="210"/>
      <c r="G413" s="214">
        <f t="shared" si="69"/>
        <v>9</v>
      </c>
      <c r="H413" s="214">
        <f t="shared" si="69"/>
        <v>9</v>
      </c>
      <c r="I413" s="214">
        <f t="shared" si="65"/>
        <v>0</v>
      </c>
      <c r="J413" s="214">
        <f t="shared" si="67"/>
        <v>100</v>
      </c>
      <c r="K413" s="7"/>
      <c r="L413" s="7"/>
      <c r="M413" s="7"/>
    </row>
    <row r="414" spans="1:13" s="5" customFormat="1" ht="12.75">
      <c r="A414" s="215" t="s">
        <v>120</v>
      </c>
      <c r="B414" s="212" t="s">
        <v>480</v>
      </c>
      <c r="C414" s="213" t="s">
        <v>69</v>
      </c>
      <c r="D414" s="213" t="s">
        <v>67</v>
      </c>
      <c r="E414" s="216" t="s">
        <v>121</v>
      </c>
      <c r="F414" s="210"/>
      <c r="G414" s="214">
        <f t="shared" si="69"/>
        <v>9</v>
      </c>
      <c r="H414" s="214">
        <f t="shared" si="69"/>
        <v>9</v>
      </c>
      <c r="I414" s="214">
        <f t="shared" si="65"/>
        <v>0</v>
      </c>
      <c r="J414" s="214">
        <f t="shared" si="67"/>
        <v>100</v>
      </c>
      <c r="K414" s="7"/>
      <c r="L414" s="7"/>
      <c r="M414" s="7"/>
    </row>
    <row r="415" spans="1:13" s="5" customFormat="1" ht="12.75">
      <c r="A415" s="215" t="s">
        <v>124</v>
      </c>
      <c r="B415" s="212" t="s">
        <v>480</v>
      </c>
      <c r="C415" s="213" t="s">
        <v>69</v>
      </c>
      <c r="D415" s="213" t="s">
        <v>67</v>
      </c>
      <c r="E415" s="216" t="s">
        <v>125</v>
      </c>
      <c r="F415" s="210"/>
      <c r="G415" s="214">
        <f t="shared" si="69"/>
        <v>9</v>
      </c>
      <c r="H415" s="214">
        <f t="shared" si="69"/>
        <v>9</v>
      </c>
      <c r="I415" s="214">
        <f t="shared" si="65"/>
        <v>0</v>
      </c>
      <c r="J415" s="214">
        <f t="shared" si="67"/>
        <v>100</v>
      </c>
      <c r="K415" s="7"/>
      <c r="L415" s="7"/>
      <c r="M415" s="7"/>
    </row>
    <row r="416" spans="1:13" s="5" customFormat="1" ht="24" customHeight="1">
      <c r="A416" s="211" t="s">
        <v>173</v>
      </c>
      <c r="B416" s="212" t="s">
        <v>480</v>
      </c>
      <c r="C416" s="213" t="s">
        <v>69</v>
      </c>
      <c r="D416" s="213" t="s">
        <v>67</v>
      </c>
      <c r="E416" s="216" t="s">
        <v>125</v>
      </c>
      <c r="F416" s="210">
        <v>726</v>
      </c>
      <c r="G416" s="214">
        <v>9</v>
      </c>
      <c r="H416" s="214">
        <v>9</v>
      </c>
      <c r="I416" s="214">
        <f t="shared" si="65"/>
        <v>0</v>
      </c>
      <c r="J416" s="214">
        <f t="shared" si="67"/>
        <v>100</v>
      </c>
      <c r="K416" s="7"/>
      <c r="L416" s="7"/>
      <c r="M416" s="7"/>
    </row>
    <row r="417" spans="1:13" s="5" customFormat="1" ht="12.75">
      <c r="A417" s="207" t="s">
        <v>878</v>
      </c>
      <c r="B417" s="202" t="s">
        <v>480</v>
      </c>
      <c r="C417" s="209" t="s">
        <v>73</v>
      </c>
      <c r="D417" s="209" t="s">
        <v>36</v>
      </c>
      <c r="E417" s="201"/>
      <c r="F417" s="201"/>
      <c r="G417" s="208">
        <f>G418+G423</f>
        <v>19.9</v>
      </c>
      <c r="H417" s="208">
        <f>H418+H423</f>
        <v>19.9</v>
      </c>
      <c r="I417" s="208">
        <f t="shared" si="65"/>
        <v>0</v>
      </c>
      <c r="J417" s="208">
        <f t="shared" si="67"/>
        <v>100</v>
      </c>
      <c r="K417" s="7"/>
      <c r="L417" s="7"/>
      <c r="M417" s="7"/>
    </row>
    <row r="418" spans="1:13" s="5" customFormat="1" ht="12.75">
      <c r="A418" s="211" t="s">
        <v>12</v>
      </c>
      <c r="B418" s="212" t="s">
        <v>480</v>
      </c>
      <c r="C418" s="213" t="s">
        <v>73</v>
      </c>
      <c r="D418" s="213" t="s">
        <v>66</v>
      </c>
      <c r="E418" s="210"/>
      <c r="F418" s="210"/>
      <c r="G418" s="214">
        <f aca="true" t="shared" si="70" ref="G418:H421">G419</f>
        <v>4</v>
      </c>
      <c r="H418" s="214">
        <f t="shared" si="70"/>
        <v>4</v>
      </c>
      <c r="I418" s="214">
        <f t="shared" si="65"/>
        <v>0</v>
      </c>
      <c r="J418" s="214">
        <f t="shared" si="67"/>
        <v>100</v>
      </c>
      <c r="K418" s="7"/>
      <c r="L418" s="7"/>
      <c r="M418" s="7"/>
    </row>
    <row r="419" spans="1:13" s="5" customFormat="1" ht="33.75">
      <c r="A419" s="215" t="s">
        <v>114</v>
      </c>
      <c r="B419" s="212" t="s">
        <v>480</v>
      </c>
      <c r="C419" s="213" t="s">
        <v>73</v>
      </c>
      <c r="D419" s="213" t="s">
        <v>66</v>
      </c>
      <c r="E419" s="216" t="s">
        <v>115</v>
      </c>
      <c r="F419" s="210"/>
      <c r="G419" s="214">
        <f t="shared" si="70"/>
        <v>4</v>
      </c>
      <c r="H419" s="214">
        <f t="shared" si="70"/>
        <v>4</v>
      </c>
      <c r="I419" s="214">
        <f t="shared" si="65"/>
        <v>0</v>
      </c>
      <c r="J419" s="214">
        <f t="shared" si="67"/>
        <v>100</v>
      </c>
      <c r="K419" s="7"/>
      <c r="L419" s="7"/>
      <c r="M419" s="7"/>
    </row>
    <row r="420" spans="1:13" s="5" customFormat="1" ht="12.75">
      <c r="A420" s="215" t="s">
        <v>120</v>
      </c>
      <c r="B420" s="212" t="s">
        <v>480</v>
      </c>
      <c r="C420" s="213" t="s">
        <v>73</v>
      </c>
      <c r="D420" s="213" t="s">
        <v>66</v>
      </c>
      <c r="E420" s="216" t="s">
        <v>121</v>
      </c>
      <c r="F420" s="210"/>
      <c r="G420" s="214">
        <f t="shared" si="70"/>
        <v>4</v>
      </c>
      <c r="H420" s="214">
        <f t="shared" si="70"/>
        <v>4</v>
      </c>
      <c r="I420" s="214">
        <f t="shared" si="65"/>
        <v>0</v>
      </c>
      <c r="J420" s="214">
        <f t="shared" si="67"/>
        <v>100</v>
      </c>
      <c r="K420" s="7"/>
      <c r="L420" s="7"/>
      <c r="M420" s="7"/>
    </row>
    <row r="421" spans="1:13" s="5" customFormat="1" ht="12.75">
      <c r="A421" s="215" t="s">
        <v>124</v>
      </c>
      <c r="B421" s="212" t="s">
        <v>480</v>
      </c>
      <c r="C421" s="213" t="s">
        <v>73</v>
      </c>
      <c r="D421" s="213" t="s">
        <v>66</v>
      </c>
      <c r="E421" s="216" t="s">
        <v>125</v>
      </c>
      <c r="F421" s="210"/>
      <c r="G421" s="214">
        <f t="shared" si="70"/>
        <v>4</v>
      </c>
      <c r="H421" s="214">
        <f t="shared" si="70"/>
        <v>4</v>
      </c>
      <c r="I421" s="214">
        <f t="shared" si="65"/>
        <v>0</v>
      </c>
      <c r="J421" s="214">
        <f t="shared" si="67"/>
        <v>100</v>
      </c>
      <c r="K421" s="7"/>
      <c r="L421" s="7"/>
      <c r="M421" s="7"/>
    </row>
    <row r="422" spans="1:13" s="5" customFormat="1" ht="33.75">
      <c r="A422" s="211" t="s">
        <v>173</v>
      </c>
      <c r="B422" s="212" t="s">
        <v>480</v>
      </c>
      <c r="C422" s="213" t="s">
        <v>73</v>
      </c>
      <c r="D422" s="213" t="s">
        <v>66</v>
      </c>
      <c r="E422" s="216" t="s">
        <v>125</v>
      </c>
      <c r="F422" s="210">
        <v>726</v>
      </c>
      <c r="G422" s="214">
        <f>4</f>
        <v>4</v>
      </c>
      <c r="H422" s="214">
        <v>4</v>
      </c>
      <c r="I422" s="214">
        <f t="shared" si="65"/>
        <v>0</v>
      </c>
      <c r="J422" s="214">
        <f t="shared" si="67"/>
        <v>100</v>
      </c>
      <c r="K422" s="7"/>
      <c r="L422" s="7"/>
      <c r="M422" s="7"/>
    </row>
    <row r="423" spans="1:13" s="5" customFormat="1" ht="22.5">
      <c r="A423" s="215" t="s">
        <v>88</v>
      </c>
      <c r="B423" s="212" t="s">
        <v>480</v>
      </c>
      <c r="C423" s="213" t="s">
        <v>73</v>
      </c>
      <c r="D423" s="213" t="s">
        <v>68</v>
      </c>
      <c r="E423" s="216"/>
      <c r="F423" s="210"/>
      <c r="G423" s="214">
        <f aca="true" t="shared" si="71" ref="G423:H426">G424</f>
        <v>15.9</v>
      </c>
      <c r="H423" s="214">
        <f t="shared" si="71"/>
        <v>15.9</v>
      </c>
      <c r="I423" s="214">
        <f t="shared" si="65"/>
        <v>0</v>
      </c>
      <c r="J423" s="214">
        <f t="shared" si="67"/>
        <v>100</v>
      </c>
      <c r="K423" s="7"/>
      <c r="L423" s="7"/>
      <c r="M423" s="7"/>
    </row>
    <row r="424" spans="1:13" s="5" customFormat="1" ht="25.5" customHeight="1">
      <c r="A424" s="215" t="s">
        <v>770</v>
      </c>
      <c r="B424" s="212" t="s">
        <v>480</v>
      </c>
      <c r="C424" s="213" t="s">
        <v>73</v>
      </c>
      <c r="D424" s="213" t="s">
        <v>68</v>
      </c>
      <c r="E424" s="216" t="s">
        <v>113</v>
      </c>
      <c r="F424" s="210"/>
      <c r="G424" s="214">
        <f t="shared" si="71"/>
        <v>15.9</v>
      </c>
      <c r="H424" s="214">
        <f t="shared" si="71"/>
        <v>15.9</v>
      </c>
      <c r="I424" s="214">
        <f t="shared" si="65"/>
        <v>0</v>
      </c>
      <c r="J424" s="214">
        <f t="shared" si="67"/>
        <v>100</v>
      </c>
      <c r="K424" s="7"/>
      <c r="L424" s="7"/>
      <c r="M424" s="7"/>
    </row>
    <row r="425" spans="1:13" s="5" customFormat="1" ht="33.75">
      <c r="A425" s="215" t="s">
        <v>106</v>
      </c>
      <c r="B425" s="212" t="s">
        <v>480</v>
      </c>
      <c r="C425" s="213" t="s">
        <v>73</v>
      </c>
      <c r="D425" s="213" t="s">
        <v>68</v>
      </c>
      <c r="E425" s="216" t="s">
        <v>107</v>
      </c>
      <c r="F425" s="210"/>
      <c r="G425" s="214">
        <f t="shared" si="71"/>
        <v>15.9</v>
      </c>
      <c r="H425" s="214">
        <f t="shared" si="71"/>
        <v>15.9</v>
      </c>
      <c r="I425" s="214">
        <f t="shared" si="65"/>
        <v>0</v>
      </c>
      <c r="J425" s="214">
        <f t="shared" si="67"/>
        <v>100</v>
      </c>
      <c r="K425" s="7"/>
      <c r="L425" s="7"/>
      <c r="M425" s="7"/>
    </row>
    <row r="426" spans="1:13" s="5" customFormat="1" ht="33.75">
      <c r="A426" s="215" t="s">
        <v>108</v>
      </c>
      <c r="B426" s="212" t="s">
        <v>480</v>
      </c>
      <c r="C426" s="213" t="s">
        <v>73</v>
      </c>
      <c r="D426" s="213" t="s">
        <v>68</v>
      </c>
      <c r="E426" s="216" t="s">
        <v>109</v>
      </c>
      <c r="F426" s="210"/>
      <c r="G426" s="214">
        <f t="shared" si="71"/>
        <v>15.9</v>
      </c>
      <c r="H426" s="214">
        <f t="shared" si="71"/>
        <v>15.9</v>
      </c>
      <c r="I426" s="214">
        <f t="shared" si="65"/>
        <v>0</v>
      </c>
      <c r="J426" s="214">
        <f t="shared" si="67"/>
        <v>100</v>
      </c>
      <c r="K426" s="7"/>
      <c r="L426" s="7"/>
      <c r="M426" s="7"/>
    </row>
    <row r="427" spans="1:13" s="5" customFormat="1" ht="33.75">
      <c r="A427" s="211" t="s">
        <v>173</v>
      </c>
      <c r="B427" s="212" t="s">
        <v>480</v>
      </c>
      <c r="C427" s="213" t="s">
        <v>73</v>
      </c>
      <c r="D427" s="213" t="s">
        <v>68</v>
      </c>
      <c r="E427" s="216" t="s">
        <v>109</v>
      </c>
      <c r="F427" s="210">
        <v>726</v>
      </c>
      <c r="G427" s="214">
        <f>12+3.9</f>
        <v>15.9</v>
      </c>
      <c r="H427" s="214">
        <v>15.9</v>
      </c>
      <c r="I427" s="214">
        <f t="shared" si="65"/>
        <v>0</v>
      </c>
      <c r="J427" s="214">
        <f t="shared" si="67"/>
        <v>100</v>
      </c>
      <c r="K427" s="7"/>
      <c r="L427" s="7"/>
      <c r="M427" s="7"/>
    </row>
    <row r="428" spans="1:13" s="5" customFormat="1" ht="12.75">
      <c r="A428" s="207" t="s">
        <v>85</v>
      </c>
      <c r="B428" s="202" t="s">
        <v>480</v>
      </c>
      <c r="C428" s="209" t="s">
        <v>74</v>
      </c>
      <c r="D428" s="209" t="s">
        <v>36</v>
      </c>
      <c r="E428" s="201"/>
      <c r="F428" s="201"/>
      <c r="G428" s="208">
        <f aca="true" t="shared" si="72" ref="G428:H432">G429</f>
        <v>4</v>
      </c>
      <c r="H428" s="208">
        <f t="shared" si="72"/>
        <v>4</v>
      </c>
      <c r="I428" s="208">
        <f t="shared" si="65"/>
        <v>0</v>
      </c>
      <c r="J428" s="208">
        <f t="shared" si="67"/>
        <v>100</v>
      </c>
      <c r="K428" s="7"/>
      <c r="L428" s="7"/>
      <c r="M428" s="7"/>
    </row>
    <row r="429" spans="1:13" s="5" customFormat="1" ht="12.75">
      <c r="A429" s="211" t="s">
        <v>86</v>
      </c>
      <c r="B429" s="212" t="s">
        <v>480</v>
      </c>
      <c r="C429" s="213" t="s">
        <v>74</v>
      </c>
      <c r="D429" s="213" t="s">
        <v>66</v>
      </c>
      <c r="E429" s="210"/>
      <c r="F429" s="210"/>
      <c r="G429" s="214">
        <f t="shared" si="72"/>
        <v>4</v>
      </c>
      <c r="H429" s="214">
        <f t="shared" si="72"/>
        <v>4</v>
      </c>
      <c r="I429" s="214">
        <f t="shared" si="65"/>
        <v>0</v>
      </c>
      <c r="J429" s="214">
        <f t="shared" si="67"/>
        <v>100</v>
      </c>
      <c r="K429" s="7"/>
      <c r="L429" s="7"/>
      <c r="M429" s="7"/>
    </row>
    <row r="430" spans="1:13" s="5" customFormat="1" ht="33.75">
      <c r="A430" s="215" t="s">
        <v>114</v>
      </c>
      <c r="B430" s="212" t="s">
        <v>480</v>
      </c>
      <c r="C430" s="213" t="s">
        <v>74</v>
      </c>
      <c r="D430" s="213" t="s">
        <v>66</v>
      </c>
      <c r="E430" s="216" t="s">
        <v>115</v>
      </c>
      <c r="F430" s="210"/>
      <c r="G430" s="214">
        <f t="shared" si="72"/>
        <v>4</v>
      </c>
      <c r="H430" s="214">
        <f t="shared" si="72"/>
        <v>4</v>
      </c>
      <c r="I430" s="214">
        <f t="shared" si="65"/>
        <v>0</v>
      </c>
      <c r="J430" s="214">
        <f t="shared" si="67"/>
        <v>100</v>
      </c>
      <c r="K430" s="7"/>
      <c r="L430" s="7"/>
      <c r="M430" s="7"/>
    </row>
    <row r="431" spans="1:13" s="5" customFormat="1" ht="12.75">
      <c r="A431" s="215" t="s">
        <v>120</v>
      </c>
      <c r="B431" s="212" t="s">
        <v>480</v>
      </c>
      <c r="C431" s="213" t="s">
        <v>74</v>
      </c>
      <c r="D431" s="213" t="s">
        <v>66</v>
      </c>
      <c r="E431" s="216" t="s">
        <v>121</v>
      </c>
      <c r="F431" s="210"/>
      <c r="G431" s="214">
        <f t="shared" si="72"/>
        <v>4</v>
      </c>
      <c r="H431" s="214">
        <f t="shared" si="72"/>
        <v>4</v>
      </c>
      <c r="I431" s="214">
        <f t="shared" si="65"/>
        <v>0</v>
      </c>
      <c r="J431" s="214">
        <f t="shared" si="67"/>
        <v>100</v>
      </c>
      <c r="K431" s="7"/>
      <c r="L431" s="7"/>
      <c r="M431" s="7"/>
    </row>
    <row r="432" spans="1:13" s="5" customFormat="1" ht="12.75">
      <c r="A432" s="215" t="s">
        <v>124</v>
      </c>
      <c r="B432" s="212" t="s">
        <v>480</v>
      </c>
      <c r="C432" s="213" t="s">
        <v>74</v>
      </c>
      <c r="D432" s="213" t="s">
        <v>66</v>
      </c>
      <c r="E432" s="216" t="s">
        <v>125</v>
      </c>
      <c r="F432" s="210"/>
      <c r="G432" s="214">
        <f t="shared" si="72"/>
        <v>4</v>
      </c>
      <c r="H432" s="214">
        <f t="shared" si="72"/>
        <v>4</v>
      </c>
      <c r="I432" s="214">
        <f t="shared" si="65"/>
        <v>0</v>
      </c>
      <c r="J432" s="214">
        <f t="shared" si="67"/>
        <v>100</v>
      </c>
      <c r="K432" s="7"/>
      <c r="L432" s="7"/>
      <c r="M432" s="7"/>
    </row>
    <row r="433" spans="1:13" s="5" customFormat="1" ht="24.75" customHeight="1">
      <c r="A433" s="211" t="s">
        <v>173</v>
      </c>
      <c r="B433" s="212" t="s">
        <v>480</v>
      </c>
      <c r="C433" s="213" t="s">
        <v>74</v>
      </c>
      <c r="D433" s="213" t="s">
        <v>66</v>
      </c>
      <c r="E433" s="216" t="s">
        <v>125</v>
      </c>
      <c r="F433" s="210">
        <v>726</v>
      </c>
      <c r="G433" s="214">
        <v>4</v>
      </c>
      <c r="H433" s="214">
        <v>4</v>
      </c>
      <c r="I433" s="214">
        <f t="shared" si="65"/>
        <v>0</v>
      </c>
      <c r="J433" s="214">
        <f t="shared" si="67"/>
        <v>100</v>
      </c>
      <c r="K433" s="7"/>
      <c r="L433" s="7"/>
      <c r="M433" s="7"/>
    </row>
    <row r="434" spans="1:13" s="5" customFormat="1" ht="21" customHeight="1">
      <c r="A434" s="207" t="s">
        <v>384</v>
      </c>
      <c r="B434" s="202" t="s">
        <v>455</v>
      </c>
      <c r="C434" s="209"/>
      <c r="D434" s="209"/>
      <c r="E434" s="217"/>
      <c r="F434" s="201"/>
      <c r="G434" s="208">
        <f>G435</f>
        <v>490</v>
      </c>
      <c r="H434" s="208">
        <f>H435</f>
        <v>490</v>
      </c>
      <c r="I434" s="208">
        <f t="shared" si="65"/>
        <v>0</v>
      </c>
      <c r="J434" s="208">
        <f t="shared" si="67"/>
        <v>100</v>
      </c>
      <c r="K434" s="7"/>
      <c r="L434" s="7"/>
      <c r="M434" s="7"/>
    </row>
    <row r="435" spans="1:13" s="5" customFormat="1" ht="12.75">
      <c r="A435" s="207" t="s">
        <v>8</v>
      </c>
      <c r="B435" s="202" t="s">
        <v>455</v>
      </c>
      <c r="C435" s="209" t="s">
        <v>69</v>
      </c>
      <c r="D435" s="209" t="s">
        <v>36</v>
      </c>
      <c r="E435" s="210"/>
      <c r="F435" s="210"/>
      <c r="G435" s="208">
        <f>G436+G441</f>
        <v>490</v>
      </c>
      <c r="H435" s="208">
        <f>H436+H441</f>
        <v>490</v>
      </c>
      <c r="I435" s="208">
        <f t="shared" si="65"/>
        <v>0</v>
      </c>
      <c r="J435" s="208">
        <f t="shared" si="67"/>
        <v>100</v>
      </c>
      <c r="K435" s="7"/>
      <c r="L435" s="7"/>
      <c r="M435" s="7"/>
    </row>
    <row r="436" spans="1:13" s="5" customFormat="1" ht="12.75">
      <c r="A436" s="211" t="s">
        <v>9</v>
      </c>
      <c r="B436" s="212" t="s">
        <v>455</v>
      </c>
      <c r="C436" s="213" t="s">
        <v>69</v>
      </c>
      <c r="D436" s="213" t="s">
        <v>66</v>
      </c>
      <c r="E436" s="210"/>
      <c r="F436" s="210"/>
      <c r="G436" s="214">
        <f aca="true" t="shared" si="73" ref="G436:H439">G437</f>
        <v>125.9</v>
      </c>
      <c r="H436" s="214">
        <f t="shared" si="73"/>
        <v>125.9</v>
      </c>
      <c r="I436" s="214">
        <f t="shared" si="65"/>
        <v>0</v>
      </c>
      <c r="J436" s="214">
        <f t="shared" si="67"/>
        <v>100</v>
      </c>
      <c r="K436" s="7"/>
      <c r="L436" s="7"/>
      <c r="M436" s="7"/>
    </row>
    <row r="437" spans="1:13" s="5" customFormat="1" ht="33.75">
      <c r="A437" s="215" t="s">
        <v>114</v>
      </c>
      <c r="B437" s="212" t="s">
        <v>455</v>
      </c>
      <c r="C437" s="213" t="s">
        <v>69</v>
      </c>
      <c r="D437" s="213" t="s">
        <v>66</v>
      </c>
      <c r="E437" s="216" t="s">
        <v>115</v>
      </c>
      <c r="F437" s="210"/>
      <c r="G437" s="214">
        <f t="shared" si="73"/>
        <v>125.9</v>
      </c>
      <c r="H437" s="214">
        <f t="shared" si="73"/>
        <v>125.9</v>
      </c>
      <c r="I437" s="214">
        <f t="shared" si="65"/>
        <v>0</v>
      </c>
      <c r="J437" s="214">
        <f t="shared" si="67"/>
        <v>100</v>
      </c>
      <c r="K437" s="7"/>
      <c r="L437" s="7"/>
      <c r="M437" s="7"/>
    </row>
    <row r="438" spans="1:13" s="5" customFormat="1" ht="12.75">
      <c r="A438" s="215" t="s">
        <v>120</v>
      </c>
      <c r="B438" s="212" t="s">
        <v>455</v>
      </c>
      <c r="C438" s="213" t="s">
        <v>69</v>
      </c>
      <c r="D438" s="213" t="s">
        <v>66</v>
      </c>
      <c r="E438" s="216" t="s">
        <v>121</v>
      </c>
      <c r="F438" s="210"/>
      <c r="G438" s="214">
        <f t="shared" si="73"/>
        <v>125.9</v>
      </c>
      <c r="H438" s="214">
        <f t="shared" si="73"/>
        <v>125.9</v>
      </c>
      <c r="I438" s="214">
        <f t="shared" si="65"/>
        <v>0</v>
      </c>
      <c r="J438" s="214">
        <f t="shared" si="67"/>
        <v>100</v>
      </c>
      <c r="K438" s="7"/>
      <c r="L438" s="7"/>
      <c r="M438" s="7"/>
    </row>
    <row r="439" spans="1:13" s="5" customFormat="1" ht="13.5" customHeight="1">
      <c r="A439" s="215" t="s">
        <v>124</v>
      </c>
      <c r="B439" s="212" t="s">
        <v>455</v>
      </c>
      <c r="C439" s="213" t="s">
        <v>69</v>
      </c>
      <c r="D439" s="213" t="s">
        <v>66</v>
      </c>
      <c r="E439" s="216" t="s">
        <v>125</v>
      </c>
      <c r="F439" s="210"/>
      <c r="G439" s="214">
        <f t="shared" si="73"/>
        <v>125.9</v>
      </c>
      <c r="H439" s="214">
        <f t="shared" si="73"/>
        <v>125.9</v>
      </c>
      <c r="I439" s="214">
        <f t="shared" si="65"/>
        <v>0</v>
      </c>
      <c r="J439" s="214">
        <f t="shared" si="67"/>
        <v>100</v>
      </c>
      <c r="K439" s="7"/>
      <c r="L439" s="7"/>
      <c r="M439" s="7"/>
    </row>
    <row r="440" spans="1:13" s="5" customFormat="1" ht="22.5">
      <c r="A440" s="211" t="s">
        <v>172</v>
      </c>
      <c r="B440" s="212" t="s">
        <v>455</v>
      </c>
      <c r="C440" s="213" t="s">
        <v>69</v>
      </c>
      <c r="D440" s="213" t="s">
        <v>66</v>
      </c>
      <c r="E440" s="216" t="s">
        <v>125</v>
      </c>
      <c r="F440" s="210">
        <v>725</v>
      </c>
      <c r="G440" s="214">
        <f>82.4+21.5+22</f>
        <v>125.9</v>
      </c>
      <c r="H440" s="214">
        <v>125.9</v>
      </c>
      <c r="I440" s="214">
        <f t="shared" si="65"/>
        <v>0</v>
      </c>
      <c r="J440" s="214">
        <f t="shared" si="67"/>
        <v>100</v>
      </c>
      <c r="K440" s="7"/>
      <c r="L440" s="7"/>
      <c r="M440" s="7"/>
    </row>
    <row r="441" spans="1:13" s="5" customFormat="1" ht="12.75">
      <c r="A441" s="211" t="s">
        <v>875</v>
      </c>
      <c r="B441" s="212" t="s">
        <v>455</v>
      </c>
      <c r="C441" s="213" t="s">
        <v>69</v>
      </c>
      <c r="D441" s="213" t="s">
        <v>67</v>
      </c>
      <c r="E441" s="210"/>
      <c r="F441" s="210"/>
      <c r="G441" s="214">
        <f aca="true" t="shared" si="74" ref="G441:H444">G442</f>
        <v>364.1</v>
      </c>
      <c r="H441" s="214">
        <f t="shared" si="74"/>
        <v>364.1</v>
      </c>
      <c r="I441" s="214">
        <f t="shared" si="65"/>
        <v>0</v>
      </c>
      <c r="J441" s="214">
        <f t="shared" si="67"/>
        <v>100</v>
      </c>
      <c r="K441" s="7"/>
      <c r="L441" s="7"/>
      <c r="M441" s="7"/>
    </row>
    <row r="442" spans="1:13" s="5" customFormat="1" ht="33.75">
      <c r="A442" s="215" t="s">
        <v>114</v>
      </c>
      <c r="B442" s="212" t="s">
        <v>455</v>
      </c>
      <c r="C442" s="213" t="s">
        <v>69</v>
      </c>
      <c r="D442" s="213" t="s">
        <v>67</v>
      </c>
      <c r="E442" s="216" t="s">
        <v>115</v>
      </c>
      <c r="F442" s="210"/>
      <c r="G442" s="214">
        <f t="shared" si="74"/>
        <v>364.1</v>
      </c>
      <c r="H442" s="214">
        <f t="shared" si="74"/>
        <v>364.1</v>
      </c>
      <c r="I442" s="214">
        <f t="shared" si="65"/>
        <v>0</v>
      </c>
      <c r="J442" s="214">
        <f t="shared" si="67"/>
        <v>100</v>
      </c>
      <c r="K442" s="7"/>
      <c r="L442" s="7"/>
      <c r="M442" s="7"/>
    </row>
    <row r="443" spans="1:13" s="5" customFormat="1" ht="12.75">
      <c r="A443" s="215" t="s">
        <v>120</v>
      </c>
      <c r="B443" s="212" t="s">
        <v>455</v>
      </c>
      <c r="C443" s="213" t="s">
        <v>69</v>
      </c>
      <c r="D443" s="213" t="s">
        <v>67</v>
      </c>
      <c r="E443" s="216" t="s">
        <v>121</v>
      </c>
      <c r="F443" s="210"/>
      <c r="G443" s="214">
        <f t="shared" si="74"/>
        <v>364.1</v>
      </c>
      <c r="H443" s="214">
        <f t="shared" si="74"/>
        <v>364.1</v>
      </c>
      <c r="I443" s="214">
        <f t="shared" si="65"/>
        <v>0</v>
      </c>
      <c r="J443" s="214">
        <f t="shared" si="67"/>
        <v>100</v>
      </c>
      <c r="K443" s="7"/>
      <c r="L443" s="7"/>
      <c r="M443" s="7"/>
    </row>
    <row r="444" spans="1:13" s="5" customFormat="1" ht="12.75">
      <c r="A444" s="215" t="s">
        <v>124</v>
      </c>
      <c r="B444" s="212" t="s">
        <v>455</v>
      </c>
      <c r="C444" s="213" t="s">
        <v>69</v>
      </c>
      <c r="D444" s="213" t="s">
        <v>67</v>
      </c>
      <c r="E444" s="216" t="s">
        <v>125</v>
      </c>
      <c r="F444" s="210"/>
      <c r="G444" s="214">
        <f t="shared" si="74"/>
        <v>364.1</v>
      </c>
      <c r="H444" s="214">
        <f t="shared" si="74"/>
        <v>364.1</v>
      </c>
      <c r="I444" s="214">
        <f t="shared" si="65"/>
        <v>0</v>
      </c>
      <c r="J444" s="214">
        <f t="shared" si="67"/>
        <v>100</v>
      </c>
      <c r="K444" s="7"/>
      <c r="L444" s="7"/>
      <c r="M444" s="7"/>
    </row>
    <row r="445" spans="1:13" s="5" customFormat="1" ht="22.5">
      <c r="A445" s="211" t="s">
        <v>172</v>
      </c>
      <c r="B445" s="212" t="s">
        <v>455</v>
      </c>
      <c r="C445" s="213" t="s">
        <v>69</v>
      </c>
      <c r="D445" s="213" t="s">
        <v>67</v>
      </c>
      <c r="E445" s="216" t="s">
        <v>125</v>
      </c>
      <c r="F445" s="210">
        <v>725</v>
      </c>
      <c r="G445" s="214">
        <f>57.7+110.2+61.4+29.8+47.6+57.4</f>
        <v>364.1</v>
      </c>
      <c r="H445" s="214">
        <v>364.1</v>
      </c>
      <c r="I445" s="214">
        <f t="shared" si="65"/>
        <v>0</v>
      </c>
      <c r="J445" s="214">
        <f t="shared" si="67"/>
        <v>100</v>
      </c>
      <c r="K445" s="7"/>
      <c r="L445" s="7"/>
      <c r="M445" s="7"/>
    </row>
    <row r="446" spans="1:13" s="5" customFormat="1" ht="36" customHeight="1">
      <c r="A446" s="207" t="s">
        <v>207</v>
      </c>
      <c r="B446" s="202" t="s">
        <v>456</v>
      </c>
      <c r="C446" s="209"/>
      <c r="D446" s="209"/>
      <c r="E446" s="217"/>
      <c r="F446" s="201"/>
      <c r="G446" s="208">
        <f>G447+G458</f>
        <v>71.3</v>
      </c>
      <c r="H446" s="208">
        <f>H447+H458</f>
        <v>71.1</v>
      </c>
      <c r="I446" s="208">
        <f t="shared" si="65"/>
        <v>0.20000000000000284</v>
      </c>
      <c r="J446" s="208">
        <f t="shared" si="67"/>
        <v>99.71949509116409</v>
      </c>
      <c r="K446" s="7"/>
      <c r="L446" s="7"/>
      <c r="M446" s="7"/>
    </row>
    <row r="447" spans="1:13" s="5" customFormat="1" ht="15.75" customHeight="1">
      <c r="A447" s="207" t="s">
        <v>8</v>
      </c>
      <c r="B447" s="202" t="s">
        <v>456</v>
      </c>
      <c r="C447" s="209" t="s">
        <v>69</v>
      </c>
      <c r="D447" s="209" t="s">
        <v>36</v>
      </c>
      <c r="E447" s="210"/>
      <c r="F447" s="210"/>
      <c r="G447" s="208">
        <f>G448+G453</f>
        <v>57.3</v>
      </c>
      <c r="H447" s="208">
        <f>H448+H453</f>
        <v>57.1</v>
      </c>
      <c r="I447" s="208">
        <f t="shared" si="65"/>
        <v>0.19999999999999574</v>
      </c>
      <c r="J447" s="208">
        <f t="shared" si="67"/>
        <v>99.65095986038395</v>
      </c>
      <c r="K447" s="7"/>
      <c r="L447" s="7"/>
      <c r="M447" s="7"/>
    </row>
    <row r="448" spans="1:13" s="5" customFormat="1" ht="10.5" customHeight="1">
      <c r="A448" s="211" t="s">
        <v>9</v>
      </c>
      <c r="B448" s="212" t="s">
        <v>456</v>
      </c>
      <c r="C448" s="213" t="s">
        <v>69</v>
      </c>
      <c r="D448" s="213" t="s">
        <v>66</v>
      </c>
      <c r="E448" s="210"/>
      <c r="F448" s="210"/>
      <c r="G448" s="214">
        <f aca="true" t="shared" si="75" ref="G448:H451">G449</f>
        <v>17.2</v>
      </c>
      <c r="H448" s="214">
        <f t="shared" si="75"/>
        <v>17.1</v>
      </c>
      <c r="I448" s="214">
        <f t="shared" si="65"/>
        <v>0.09999999999999787</v>
      </c>
      <c r="J448" s="214">
        <f t="shared" si="67"/>
        <v>99.4186046511628</v>
      </c>
      <c r="K448" s="7"/>
      <c r="L448" s="7"/>
      <c r="M448" s="7"/>
    </row>
    <row r="449" spans="1:13" s="5" customFormat="1" ht="34.5" customHeight="1">
      <c r="A449" s="215" t="s">
        <v>114</v>
      </c>
      <c r="B449" s="212" t="s">
        <v>456</v>
      </c>
      <c r="C449" s="213" t="s">
        <v>69</v>
      </c>
      <c r="D449" s="213" t="s">
        <v>66</v>
      </c>
      <c r="E449" s="216" t="s">
        <v>115</v>
      </c>
      <c r="F449" s="210"/>
      <c r="G449" s="214">
        <f t="shared" si="75"/>
        <v>17.2</v>
      </c>
      <c r="H449" s="214">
        <f t="shared" si="75"/>
        <v>17.1</v>
      </c>
      <c r="I449" s="214">
        <f t="shared" si="65"/>
        <v>0.09999999999999787</v>
      </c>
      <c r="J449" s="214">
        <f t="shared" si="67"/>
        <v>99.4186046511628</v>
      </c>
      <c r="K449" s="7"/>
      <c r="L449" s="7"/>
      <c r="M449" s="7"/>
    </row>
    <row r="450" spans="1:13" s="5" customFormat="1" ht="13.5" customHeight="1">
      <c r="A450" s="215" t="s">
        <v>120</v>
      </c>
      <c r="B450" s="212" t="s">
        <v>456</v>
      </c>
      <c r="C450" s="213" t="s">
        <v>69</v>
      </c>
      <c r="D450" s="213" t="s">
        <v>66</v>
      </c>
      <c r="E450" s="216" t="s">
        <v>121</v>
      </c>
      <c r="F450" s="210"/>
      <c r="G450" s="214">
        <f t="shared" si="75"/>
        <v>17.2</v>
      </c>
      <c r="H450" s="214">
        <f t="shared" si="75"/>
        <v>17.1</v>
      </c>
      <c r="I450" s="214">
        <f t="shared" si="65"/>
        <v>0.09999999999999787</v>
      </c>
      <c r="J450" s="214">
        <f t="shared" si="67"/>
        <v>99.4186046511628</v>
      </c>
      <c r="K450" s="7"/>
      <c r="L450" s="7"/>
      <c r="M450" s="7"/>
    </row>
    <row r="451" spans="1:13" s="5" customFormat="1" ht="15.75" customHeight="1">
      <c r="A451" s="215" t="s">
        <v>124</v>
      </c>
      <c r="B451" s="212" t="s">
        <v>456</v>
      </c>
      <c r="C451" s="213" t="s">
        <v>69</v>
      </c>
      <c r="D451" s="213" t="s">
        <v>66</v>
      </c>
      <c r="E451" s="216" t="s">
        <v>125</v>
      </c>
      <c r="F451" s="210"/>
      <c r="G451" s="214">
        <f t="shared" si="75"/>
        <v>17.2</v>
      </c>
      <c r="H451" s="214">
        <f t="shared" si="75"/>
        <v>17.1</v>
      </c>
      <c r="I451" s="214">
        <f t="shared" si="65"/>
        <v>0.09999999999999787</v>
      </c>
      <c r="J451" s="214">
        <f t="shared" si="67"/>
        <v>99.4186046511628</v>
      </c>
      <c r="K451" s="7"/>
      <c r="L451" s="7"/>
      <c r="M451" s="7"/>
    </row>
    <row r="452" spans="1:13" s="5" customFormat="1" ht="24.75" customHeight="1">
      <c r="A452" s="211" t="s">
        <v>172</v>
      </c>
      <c r="B452" s="212" t="s">
        <v>456</v>
      </c>
      <c r="C452" s="213" t="s">
        <v>69</v>
      </c>
      <c r="D452" s="213" t="s">
        <v>66</v>
      </c>
      <c r="E452" s="216" t="s">
        <v>125</v>
      </c>
      <c r="F452" s="210">
        <v>725</v>
      </c>
      <c r="G452" s="214">
        <f>5.8+5.7+5.7-5.7+5.7</f>
        <v>17.2</v>
      </c>
      <c r="H452" s="214">
        <v>17.1</v>
      </c>
      <c r="I452" s="214">
        <f t="shared" si="65"/>
        <v>0.09999999999999787</v>
      </c>
      <c r="J452" s="214">
        <f t="shared" si="67"/>
        <v>99.4186046511628</v>
      </c>
      <c r="K452" s="7"/>
      <c r="L452" s="7"/>
      <c r="M452" s="7"/>
    </row>
    <row r="453" spans="1:13" s="5" customFormat="1" ht="12.75" customHeight="1">
      <c r="A453" s="211" t="s">
        <v>875</v>
      </c>
      <c r="B453" s="212" t="s">
        <v>456</v>
      </c>
      <c r="C453" s="213" t="s">
        <v>69</v>
      </c>
      <c r="D453" s="213" t="s">
        <v>67</v>
      </c>
      <c r="E453" s="210"/>
      <c r="F453" s="210"/>
      <c r="G453" s="214">
        <f aca="true" t="shared" si="76" ref="G453:H456">G454</f>
        <v>40.1</v>
      </c>
      <c r="H453" s="214">
        <f t="shared" si="76"/>
        <v>40</v>
      </c>
      <c r="I453" s="214">
        <f t="shared" si="65"/>
        <v>0.10000000000000142</v>
      </c>
      <c r="J453" s="214">
        <f t="shared" si="67"/>
        <v>99.7506234413965</v>
      </c>
      <c r="K453" s="7"/>
      <c r="L453" s="7"/>
      <c r="M453" s="7"/>
    </row>
    <row r="454" spans="1:13" s="5" customFormat="1" ht="24" customHeight="1">
      <c r="A454" s="215" t="s">
        <v>114</v>
      </c>
      <c r="B454" s="212" t="s">
        <v>456</v>
      </c>
      <c r="C454" s="213" t="s">
        <v>69</v>
      </c>
      <c r="D454" s="213" t="s">
        <v>67</v>
      </c>
      <c r="E454" s="216" t="s">
        <v>115</v>
      </c>
      <c r="F454" s="210"/>
      <c r="G454" s="214">
        <f t="shared" si="76"/>
        <v>40.1</v>
      </c>
      <c r="H454" s="214">
        <f t="shared" si="76"/>
        <v>40</v>
      </c>
      <c r="I454" s="214">
        <f t="shared" si="65"/>
        <v>0.10000000000000142</v>
      </c>
      <c r="J454" s="214">
        <f t="shared" si="67"/>
        <v>99.7506234413965</v>
      </c>
      <c r="K454" s="7"/>
      <c r="L454" s="7"/>
      <c r="M454" s="7"/>
    </row>
    <row r="455" spans="1:13" s="5" customFormat="1" ht="15.75" customHeight="1">
      <c r="A455" s="215" t="s">
        <v>120</v>
      </c>
      <c r="B455" s="212" t="s">
        <v>456</v>
      </c>
      <c r="C455" s="213" t="s">
        <v>69</v>
      </c>
      <c r="D455" s="213" t="s">
        <v>67</v>
      </c>
      <c r="E455" s="216" t="s">
        <v>121</v>
      </c>
      <c r="F455" s="210"/>
      <c r="G455" s="214">
        <f t="shared" si="76"/>
        <v>40.1</v>
      </c>
      <c r="H455" s="214">
        <f t="shared" si="76"/>
        <v>40</v>
      </c>
      <c r="I455" s="214">
        <f t="shared" si="65"/>
        <v>0.10000000000000142</v>
      </c>
      <c r="J455" s="214">
        <f t="shared" si="67"/>
        <v>99.7506234413965</v>
      </c>
      <c r="K455" s="7"/>
      <c r="L455" s="7"/>
      <c r="M455" s="7"/>
    </row>
    <row r="456" spans="1:13" s="5" customFormat="1" ht="15.75" customHeight="1">
      <c r="A456" s="215" t="s">
        <v>124</v>
      </c>
      <c r="B456" s="212" t="s">
        <v>456</v>
      </c>
      <c r="C456" s="213" t="s">
        <v>69</v>
      </c>
      <c r="D456" s="213" t="s">
        <v>67</v>
      </c>
      <c r="E456" s="216" t="s">
        <v>125</v>
      </c>
      <c r="F456" s="210"/>
      <c r="G456" s="214">
        <f t="shared" si="76"/>
        <v>40.1</v>
      </c>
      <c r="H456" s="214">
        <f t="shared" si="76"/>
        <v>40</v>
      </c>
      <c r="I456" s="214">
        <f t="shared" si="65"/>
        <v>0.10000000000000142</v>
      </c>
      <c r="J456" s="214">
        <f t="shared" si="67"/>
        <v>99.7506234413965</v>
      </c>
      <c r="K456" s="7"/>
      <c r="L456" s="7"/>
      <c r="M456" s="7"/>
    </row>
    <row r="457" spans="1:13" s="5" customFormat="1" ht="26.25" customHeight="1">
      <c r="A457" s="211" t="s">
        <v>172</v>
      </c>
      <c r="B457" s="212" t="s">
        <v>456</v>
      </c>
      <c r="C457" s="213" t="s">
        <v>69</v>
      </c>
      <c r="D457" s="213" t="s">
        <v>67</v>
      </c>
      <c r="E457" s="216" t="s">
        <v>125</v>
      </c>
      <c r="F457" s="210">
        <v>725</v>
      </c>
      <c r="G457" s="214">
        <f>5.7+5.8+5.8+5.7+5.7+11.4+5.7-5.7</f>
        <v>40.1</v>
      </c>
      <c r="H457" s="214">
        <v>40</v>
      </c>
      <c r="I457" s="214">
        <f aca="true" t="shared" si="77" ref="I457:I520">G457-H457</f>
        <v>0.10000000000000142</v>
      </c>
      <c r="J457" s="214">
        <f t="shared" si="67"/>
        <v>99.7506234413965</v>
      </c>
      <c r="K457" s="7"/>
      <c r="L457" s="7"/>
      <c r="M457" s="7"/>
    </row>
    <row r="458" spans="1:13" s="5" customFormat="1" ht="15.75" customHeight="1">
      <c r="A458" s="207" t="s">
        <v>85</v>
      </c>
      <c r="B458" s="202" t="s">
        <v>456</v>
      </c>
      <c r="C458" s="209" t="s">
        <v>74</v>
      </c>
      <c r="D458" s="209" t="s">
        <v>36</v>
      </c>
      <c r="E458" s="201"/>
      <c r="F458" s="201"/>
      <c r="G458" s="208">
        <f aca="true" t="shared" si="78" ref="G458:H462">G459</f>
        <v>14</v>
      </c>
      <c r="H458" s="208">
        <f t="shared" si="78"/>
        <v>14</v>
      </c>
      <c r="I458" s="208">
        <f t="shared" si="77"/>
        <v>0</v>
      </c>
      <c r="J458" s="208">
        <f t="shared" si="67"/>
        <v>100</v>
      </c>
      <c r="K458" s="7"/>
      <c r="L458" s="7"/>
      <c r="M458" s="7"/>
    </row>
    <row r="459" spans="1:13" s="5" customFormat="1" ht="11.25" customHeight="1">
      <c r="A459" s="211" t="s">
        <v>86</v>
      </c>
      <c r="B459" s="212" t="s">
        <v>456</v>
      </c>
      <c r="C459" s="213" t="s">
        <v>74</v>
      </c>
      <c r="D459" s="213" t="s">
        <v>66</v>
      </c>
      <c r="E459" s="210"/>
      <c r="F459" s="210"/>
      <c r="G459" s="214">
        <f t="shared" si="78"/>
        <v>14</v>
      </c>
      <c r="H459" s="214">
        <f t="shared" si="78"/>
        <v>14</v>
      </c>
      <c r="I459" s="214">
        <f t="shared" si="77"/>
        <v>0</v>
      </c>
      <c r="J459" s="214">
        <f t="shared" si="67"/>
        <v>100</v>
      </c>
      <c r="K459" s="7"/>
      <c r="L459" s="7"/>
      <c r="M459" s="7"/>
    </row>
    <row r="460" spans="1:13" s="5" customFormat="1" ht="27.75" customHeight="1">
      <c r="A460" s="215" t="s">
        <v>114</v>
      </c>
      <c r="B460" s="212" t="s">
        <v>456</v>
      </c>
      <c r="C460" s="213" t="s">
        <v>74</v>
      </c>
      <c r="D460" s="213" t="s">
        <v>66</v>
      </c>
      <c r="E460" s="216" t="s">
        <v>115</v>
      </c>
      <c r="F460" s="210"/>
      <c r="G460" s="214">
        <f t="shared" si="78"/>
        <v>14</v>
      </c>
      <c r="H460" s="214">
        <f t="shared" si="78"/>
        <v>14</v>
      </c>
      <c r="I460" s="214">
        <f t="shared" si="77"/>
        <v>0</v>
      </c>
      <c r="J460" s="214">
        <f t="shared" si="67"/>
        <v>100</v>
      </c>
      <c r="K460" s="7"/>
      <c r="L460" s="7"/>
      <c r="M460" s="7"/>
    </row>
    <row r="461" spans="1:13" s="5" customFormat="1" ht="15.75" customHeight="1">
      <c r="A461" s="215" t="s">
        <v>120</v>
      </c>
      <c r="B461" s="212" t="s">
        <v>456</v>
      </c>
      <c r="C461" s="213" t="s">
        <v>74</v>
      </c>
      <c r="D461" s="213" t="s">
        <v>66</v>
      </c>
      <c r="E461" s="216" t="s">
        <v>121</v>
      </c>
      <c r="F461" s="210"/>
      <c r="G461" s="214">
        <f t="shared" si="78"/>
        <v>14</v>
      </c>
      <c r="H461" s="214">
        <f t="shared" si="78"/>
        <v>14</v>
      </c>
      <c r="I461" s="214">
        <f t="shared" si="77"/>
        <v>0</v>
      </c>
      <c r="J461" s="214">
        <f t="shared" si="67"/>
        <v>100</v>
      </c>
      <c r="K461" s="7"/>
      <c r="L461" s="7"/>
      <c r="M461" s="7"/>
    </row>
    <row r="462" spans="1:13" s="5" customFormat="1" ht="15" customHeight="1">
      <c r="A462" s="215" t="s">
        <v>124</v>
      </c>
      <c r="B462" s="212" t="s">
        <v>456</v>
      </c>
      <c r="C462" s="213" t="s">
        <v>74</v>
      </c>
      <c r="D462" s="213" t="s">
        <v>66</v>
      </c>
      <c r="E462" s="216" t="s">
        <v>125</v>
      </c>
      <c r="F462" s="210"/>
      <c r="G462" s="214">
        <f t="shared" si="78"/>
        <v>14</v>
      </c>
      <c r="H462" s="214">
        <f t="shared" si="78"/>
        <v>14</v>
      </c>
      <c r="I462" s="214">
        <f t="shared" si="77"/>
        <v>0</v>
      </c>
      <c r="J462" s="214">
        <f aca="true" t="shared" si="79" ref="J462:J525">H462/G462*100</f>
        <v>100</v>
      </c>
      <c r="K462" s="7"/>
      <c r="L462" s="7"/>
      <c r="M462" s="7"/>
    </row>
    <row r="463" spans="1:13" s="5" customFormat="1" ht="24.75" customHeight="1">
      <c r="A463" s="211" t="s">
        <v>173</v>
      </c>
      <c r="B463" s="212" t="s">
        <v>456</v>
      </c>
      <c r="C463" s="213" t="s">
        <v>74</v>
      </c>
      <c r="D463" s="213" t="s">
        <v>66</v>
      </c>
      <c r="E463" s="216" t="s">
        <v>125</v>
      </c>
      <c r="F463" s="210">
        <v>726</v>
      </c>
      <c r="G463" s="214">
        <v>14</v>
      </c>
      <c r="H463" s="214">
        <v>14</v>
      </c>
      <c r="I463" s="214">
        <f t="shared" si="77"/>
        <v>0</v>
      </c>
      <c r="J463" s="214">
        <f t="shared" si="79"/>
        <v>100</v>
      </c>
      <c r="K463" s="7"/>
      <c r="L463" s="7"/>
      <c r="M463" s="7"/>
    </row>
    <row r="464" spans="1:14" s="5" customFormat="1" ht="44.25" customHeight="1">
      <c r="A464" s="207" t="s">
        <v>355</v>
      </c>
      <c r="B464" s="202" t="s">
        <v>222</v>
      </c>
      <c r="C464" s="209"/>
      <c r="D464" s="209"/>
      <c r="E464" s="210"/>
      <c r="F464" s="210"/>
      <c r="G464" s="208">
        <f>G465+G473+G486+G494</f>
        <v>495.3</v>
      </c>
      <c r="H464" s="208">
        <f>H465+H473+H486+H494</f>
        <v>495.3</v>
      </c>
      <c r="I464" s="208">
        <f t="shared" si="77"/>
        <v>0</v>
      </c>
      <c r="J464" s="208">
        <f t="shared" si="79"/>
        <v>100</v>
      </c>
      <c r="K464" s="182"/>
      <c r="L464" s="27"/>
      <c r="M464" s="27"/>
      <c r="N464" s="183"/>
    </row>
    <row r="465" spans="1:14" s="5" customFormat="1" ht="33.75" customHeight="1">
      <c r="A465" s="207" t="s">
        <v>280</v>
      </c>
      <c r="B465" s="202" t="s">
        <v>434</v>
      </c>
      <c r="C465" s="209"/>
      <c r="D465" s="209"/>
      <c r="E465" s="210"/>
      <c r="F465" s="210"/>
      <c r="G465" s="208">
        <f aca="true" t="shared" si="80" ref="G465:H471">G466</f>
        <v>8.5</v>
      </c>
      <c r="H465" s="208">
        <f t="shared" si="80"/>
        <v>8.5</v>
      </c>
      <c r="I465" s="208">
        <f t="shared" si="77"/>
        <v>0</v>
      </c>
      <c r="J465" s="208">
        <f t="shared" si="79"/>
        <v>100</v>
      </c>
      <c r="K465" s="182"/>
      <c r="L465" s="27"/>
      <c r="M465" s="27"/>
      <c r="N465" s="183"/>
    </row>
    <row r="466" spans="1:14" s="5" customFormat="1" ht="32.25" customHeight="1">
      <c r="A466" s="207" t="s">
        <v>240</v>
      </c>
      <c r="B466" s="202" t="s">
        <v>435</v>
      </c>
      <c r="C466" s="209"/>
      <c r="D466" s="209"/>
      <c r="E466" s="210"/>
      <c r="F466" s="210"/>
      <c r="G466" s="208">
        <f t="shared" si="80"/>
        <v>8.5</v>
      </c>
      <c r="H466" s="208">
        <f t="shared" si="80"/>
        <v>8.5</v>
      </c>
      <c r="I466" s="208">
        <f t="shared" si="77"/>
        <v>0</v>
      </c>
      <c r="J466" s="208">
        <f t="shared" si="79"/>
        <v>100</v>
      </c>
      <c r="K466" s="182"/>
      <c r="L466" s="27"/>
      <c r="M466" s="27"/>
      <c r="N466" s="183"/>
    </row>
    <row r="467" spans="1:13" s="5" customFormat="1" ht="12.75">
      <c r="A467" s="207" t="s">
        <v>879</v>
      </c>
      <c r="B467" s="202" t="s">
        <v>435</v>
      </c>
      <c r="C467" s="209" t="s">
        <v>66</v>
      </c>
      <c r="D467" s="209" t="s">
        <v>36</v>
      </c>
      <c r="E467" s="210"/>
      <c r="F467" s="210"/>
      <c r="G467" s="208">
        <f t="shared" si="80"/>
        <v>8.5</v>
      </c>
      <c r="H467" s="208">
        <f t="shared" si="80"/>
        <v>8.5</v>
      </c>
      <c r="I467" s="208">
        <f t="shared" si="77"/>
        <v>0</v>
      </c>
      <c r="J467" s="208">
        <f t="shared" si="79"/>
        <v>100</v>
      </c>
      <c r="K467" s="7"/>
      <c r="L467" s="7"/>
      <c r="M467" s="7"/>
    </row>
    <row r="468" spans="1:13" s="5" customFormat="1" ht="12.75">
      <c r="A468" s="211" t="s">
        <v>63</v>
      </c>
      <c r="B468" s="212" t="s">
        <v>435</v>
      </c>
      <c r="C468" s="213" t="s">
        <v>66</v>
      </c>
      <c r="D468" s="213" t="s">
        <v>89</v>
      </c>
      <c r="E468" s="210"/>
      <c r="F468" s="210"/>
      <c r="G468" s="214">
        <f t="shared" si="80"/>
        <v>8.5</v>
      </c>
      <c r="H468" s="214">
        <f t="shared" si="80"/>
        <v>8.5</v>
      </c>
      <c r="I468" s="214">
        <f t="shared" si="77"/>
        <v>0</v>
      </c>
      <c r="J468" s="214">
        <f t="shared" si="79"/>
        <v>100</v>
      </c>
      <c r="K468" s="7"/>
      <c r="L468" s="7"/>
      <c r="M468" s="7"/>
    </row>
    <row r="469" spans="1:13" s="5" customFormat="1" ht="22.5">
      <c r="A469" s="215" t="s">
        <v>770</v>
      </c>
      <c r="B469" s="212" t="s">
        <v>435</v>
      </c>
      <c r="C469" s="213" t="s">
        <v>66</v>
      </c>
      <c r="D469" s="213" t="s">
        <v>89</v>
      </c>
      <c r="E469" s="216" t="s">
        <v>113</v>
      </c>
      <c r="F469" s="210"/>
      <c r="G469" s="214">
        <f t="shared" si="80"/>
        <v>8.5</v>
      </c>
      <c r="H469" s="214">
        <f t="shared" si="80"/>
        <v>8.5</v>
      </c>
      <c r="I469" s="214">
        <f t="shared" si="77"/>
        <v>0</v>
      </c>
      <c r="J469" s="214">
        <f t="shared" si="79"/>
        <v>100</v>
      </c>
      <c r="K469" s="7"/>
      <c r="L469" s="7"/>
      <c r="M469" s="7"/>
    </row>
    <row r="470" spans="1:13" s="5" customFormat="1" ht="37.5" customHeight="1">
      <c r="A470" s="215" t="s">
        <v>106</v>
      </c>
      <c r="B470" s="212" t="s">
        <v>435</v>
      </c>
      <c r="C470" s="213" t="s">
        <v>66</v>
      </c>
      <c r="D470" s="213" t="s">
        <v>89</v>
      </c>
      <c r="E470" s="216" t="s">
        <v>107</v>
      </c>
      <c r="F470" s="210"/>
      <c r="G470" s="214">
        <f t="shared" si="80"/>
        <v>8.5</v>
      </c>
      <c r="H470" s="214">
        <f t="shared" si="80"/>
        <v>8.5</v>
      </c>
      <c r="I470" s="214">
        <f t="shared" si="77"/>
        <v>0</v>
      </c>
      <c r="J470" s="214">
        <f t="shared" si="79"/>
        <v>100</v>
      </c>
      <c r="K470" s="7"/>
      <c r="L470" s="7"/>
      <c r="M470" s="7"/>
    </row>
    <row r="471" spans="1:13" s="5" customFormat="1" ht="33.75">
      <c r="A471" s="215" t="s">
        <v>108</v>
      </c>
      <c r="B471" s="212" t="s">
        <v>435</v>
      </c>
      <c r="C471" s="213" t="s">
        <v>66</v>
      </c>
      <c r="D471" s="213" t="s">
        <v>89</v>
      </c>
      <c r="E471" s="216" t="s">
        <v>109</v>
      </c>
      <c r="F471" s="210"/>
      <c r="G471" s="214">
        <f t="shared" si="80"/>
        <v>8.5</v>
      </c>
      <c r="H471" s="214">
        <f t="shared" si="80"/>
        <v>8.5</v>
      </c>
      <c r="I471" s="214">
        <f t="shared" si="77"/>
        <v>0</v>
      </c>
      <c r="J471" s="214">
        <f t="shared" si="79"/>
        <v>100</v>
      </c>
      <c r="K471" s="7"/>
      <c r="L471" s="7"/>
      <c r="M471" s="7"/>
    </row>
    <row r="472" spans="1:13" s="5" customFormat="1" ht="12.75">
      <c r="A472" s="211" t="s">
        <v>169</v>
      </c>
      <c r="B472" s="212" t="s">
        <v>435</v>
      </c>
      <c r="C472" s="213" t="s">
        <v>66</v>
      </c>
      <c r="D472" s="213" t="s">
        <v>89</v>
      </c>
      <c r="E472" s="216" t="s">
        <v>109</v>
      </c>
      <c r="F472" s="210">
        <v>721</v>
      </c>
      <c r="G472" s="214">
        <f>50-41.5</f>
        <v>8.5</v>
      </c>
      <c r="H472" s="214">
        <v>8.5</v>
      </c>
      <c r="I472" s="214">
        <f t="shared" si="77"/>
        <v>0</v>
      </c>
      <c r="J472" s="214">
        <f t="shared" si="79"/>
        <v>100</v>
      </c>
      <c r="K472" s="7"/>
      <c r="L472" s="7"/>
      <c r="M472" s="7"/>
    </row>
    <row r="473" spans="1:13" s="5" customFormat="1" ht="36" customHeight="1">
      <c r="A473" s="207" t="s">
        <v>299</v>
      </c>
      <c r="B473" s="202" t="s">
        <v>488</v>
      </c>
      <c r="C473" s="213"/>
      <c r="D473" s="213"/>
      <c r="E473" s="216"/>
      <c r="F473" s="210"/>
      <c r="G473" s="208">
        <f aca="true" t="shared" si="81" ref="G473:H475">G474</f>
        <v>300</v>
      </c>
      <c r="H473" s="208">
        <f t="shared" si="81"/>
        <v>300</v>
      </c>
      <c r="I473" s="208">
        <f t="shared" si="77"/>
        <v>0</v>
      </c>
      <c r="J473" s="208">
        <f t="shared" si="79"/>
        <v>100</v>
      </c>
      <c r="K473" s="7"/>
      <c r="L473" s="7"/>
      <c r="M473" s="7"/>
    </row>
    <row r="474" spans="1:13" s="5" customFormat="1" ht="12.75">
      <c r="A474" s="207" t="s">
        <v>232</v>
      </c>
      <c r="B474" s="202" t="s">
        <v>489</v>
      </c>
      <c r="C474" s="213"/>
      <c r="D474" s="213"/>
      <c r="E474" s="216"/>
      <c r="F474" s="210"/>
      <c r="G474" s="208">
        <f t="shared" si="81"/>
        <v>300</v>
      </c>
      <c r="H474" s="208">
        <f t="shared" si="81"/>
        <v>300</v>
      </c>
      <c r="I474" s="208">
        <f t="shared" si="77"/>
        <v>0</v>
      </c>
      <c r="J474" s="208">
        <f t="shared" si="79"/>
        <v>100</v>
      </c>
      <c r="K474" s="7"/>
      <c r="L474" s="7"/>
      <c r="M474" s="7"/>
    </row>
    <row r="475" spans="1:13" s="5" customFormat="1" ht="12.75">
      <c r="A475" s="232" t="s">
        <v>878</v>
      </c>
      <c r="B475" s="202" t="s">
        <v>489</v>
      </c>
      <c r="C475" s="209" t="s">
        <v>73</v>
      </c>
      <c r="D475" s="209" t="s">
        <v>36</v>
      </c>
      <c r="E475" s="216"/>
      <c r="F475" s="210"/>
      <c r="G475" s="208">
        <f t="shared" si="81"/>
        <v>300</v>
      </c>
      <c r="H475" s="208">
        <f t="shared" si="81"/>
        <v>300</v>
      </c>
      <c r="I475" s="208">
        <f t="shared" si="77"/>
        <v>0</v>
      </c>
      <c r="J475" s="208">
        <f t="shared" si="79"/>
        <v>100</v>
      </c>
      <c r="K475" s="7"/>
      <c r="L475" s="7"/>
      <c r="M475" s="7"/>
    </row>
    <row r="476" spans="1:13" s="5" customFormat="1" ht="12.75">
      <c r="A476" s="232" t="s">
        <v>12</v>
      </c>
      <c r="B476" s="212" t="s">
        <v>489</v>
      </c>
      <c r="C476" s="213" t="s">
        <v>73</v>
      </c>
      <c r="D476" s="213" t="s">
        <v>66</v>
      </c>
      <c r="E476" s="216"/>
      <c r="F476" s="210"/>
      <c r="G476" s="214">
        <f>G477+G481</f>
        <v>300</v>
      </c>
      <c r="H476" s="214">
        <f>H477+H481</f>
        <v>300</v>
      </c>
      <c r="I476" s="214">
        <f t="shared" si="77"/>
        <v>0</v>
      </c>
      <c r="J476" s="214">
        <f t="shared" si="79"/>
        <v>100</v>
      </c>
      <c r="K476" s="7"/>
      <c r="L476" s="7"/>
      <c r="M476" s="7"/>
    </row>
    <row r="477" spans="1:13" s="5" customFormat="1" ht="33.75">
      <c r="A477" s="215" t="s">
        <v>114</v>
      </c>
      <c r="B477" s="212" t="s">
        <v>489</v>
      </c>
      <c r="C477" s="213" t="s">
        <v>73</v>
      </c>
      <c r="D477" s="213" t="s">
        <v>66</v>
      </c>
      <c r="E477" s="216" t="s">
        <v>115</v>
      </c>
      <c r="F477" s="210"/>
      <c r="G477" s="214">
        <f aca="true" t="shared" si="82" ref="G477:H479">G478</f>
        <v>292.3</v>
      </c>
      <c r="H477" s="214">
        <f t="shared" si="82"/>
        <v>292.3</v>
      </c>
      <c r="I477" s="214">
        <f t="shared" si="77"/>
        <v>0</v>
      </c>
      <c r="J477" s="214">
        <f t="shared" si="79"/>
        <v>100</v>
      </c>
      <c r="K477" s="7"/>
      <c r="L477" s="7"/>
      <c r="M477" s="7"/>
    </row>
    <row r="478" spans="1:13" s="5" customFormat="1" ht="12.75">
      <c r="A478" s="215" t="s">
        <v>120</v>
      </c>
      <c r="B478" s="212" t="s">
        <v>489</v>
      </c>
      <c r="C478" s="213" t="s">
        <v>73</v>
      </c>
      <c r="D478" s="213" t="s">
        <v>66</v>
      </c>
      <c r="E478" s="216" t="s">
        <v>121</v>
      </c>
      <c r="F478" s="210"/>
      <c r="G478" s="214">
        <f t="shared" si="82"/>
        <v>292.3</v>
      </c>
      <c r="H478" s="214">
        <f t="shared" si="82"/>
        <v>292.3</v>
      </c>
      <c r="I478" s="214">
        <f t="shared" si="77"/>
        <v>0</v>
      </c>
      <c r="J478" s="214">
        <f t="shared" si="79"/>
        <v>100</v>
      </c>
      <c r="K478" s="7"/>
      <c r="L478" s="7"/>
      <c r="M478" s="7"/>
    </row>
    <row r="479" spans="1:13" s="5" customFormat="1" ht="12.75">
      <c r="A479" s="215" t="s">
        <v>124</v>
      </c>
      <c r="B479" s="212" t="s">
        <v>489</v>
      </c>
      <c r="C479" s="213" t="s">
        <v>73</v>
      </c>
      <c r="D479" s="213" t="s">
        <v>66</v>
      </c>
      <c r="E479" s="216" t="s">
        <v>125</v>
      </c>
      <c r="F479" s="210"/>
      <c r="G479" s="214">
        <f t="shared" si="82"/>
        <v>292.3</v>
      </c>
      <c r="H479" s="214">
        <f t="shared" si="82"/>
        <v>292.3</v>
      </c>
      <c r="I479" s="214">
        <f t="shared" si="77"/>
        <v>0</v>
      </c>
      <c r="J479" s="214">
        <f t="shared" si="79"/>
        <v>100</v>
      </c>
      <c r="K479" s="7"/>
      <c r="L479" s="7"/>
      <c r="M479" s="7"/>
    </row>
    <row r="480" spans="1:13" s="5" customFormat="1" ht="33.75">
      <c r="A480" s="211" t="s">
        <v>173</v>
      </c>
      <c r="B480" s="212" t="s">
        <v>489</v>
      </c>
      <c r="C480" s="213" t="s">
        <v>73</v>
      </c>
      <c r="D480" s="213" t="s">
        <v>66</v>
      </c>
      <c r="E480" s="216" t="s">
        <v>125</v>
      </c>
      <c r="F480" s="210">
        <v>726</v>
      </c>
      <c r="G480" s="214">
        <f>300-7.7</f>
        <v>292.3</v>
      </c>
      <c r="H480" s="214">
        <v>292.3</v>
      </c>
      <c r="I480" s="214">
        <f t="shared" si="77"/>
        <v>0</v>
      </c>
      <c r="J480" s="214">
        <f t="shared" si="79"/>
        <v>100</v>
      </c>
      <c r="K480" s="7"/>
      <c r="L480" s="7"/>
      <c r="M480" s="7"/>
    </row>
    <row r="481" spans="1:13" s="5" customFormat="1" ht="22.5">
      <c r="A481" s="211" t="s">
        <v>88</v>
      </c>
      <c r="B481" s="212" t="s">
        <v>489</v>
      </c>
      <c r="C481" s="213" t="s">
        <v>73</v>
      </c>
      <c r="D481" s="213" t="s">
        <v>68</v>
      </c>
      <c r="E481" s="216"/>
      <c r="F481" s="210"/>
      <c r="G481" s="214">
        <f aca="true" t="shared" si="83" ref="G481:H484">G482</f>
        <v>7.7</v>
      </c>
      <c r="H481" s="214">
        <f t="shared" si="83"/>
        <v>7.7</v>
      </c>
      <c r="I481" s="214">
        <f t="shared" si="77"/>
        <v>0</v>
      </c>
      <c r="J481" s="214">
        <f t="shared" si="79"/>
        <v>100</v>
      </c>
      <c r="K481" s="7"/>
      <c r="L481" s="7"/>
      <c r="M481" s="7"/>
    </row>
    <row r="482" spans="1:13" s="5" customFormat="1" ht="24.75" customHeight="1">
      <c r="A482" s="215" t="s">
        <v>770</v>
      </c>
      <c r="B482" s="212" t="s">
        <v>489</v>
      </c>
      <c r="C482" s="213" t="s">
        <v>73</v>
      </c>
      <c r="D482" s="213" t="s">
        <v>68</v>
      </c>
      <c r="E482" s="216" t="s">
        <v>113</v>
      </c>
      <c r="F482" s="210"/>
      <c r="G482" s="214">
        <f t="shared" si="83"/>
        <v>7.7</v>
      </c>
      <c r="H482" s="214">
        <f t="shared" si="83"/>
        <v>7.7</v>
      </c>
      <c r="I482" s="214">
        <f t="shared" si="77"/>
        <v>0</v>
      </c>
      <c r="J482" s="214">
        <f t="shared" si="79"/>
        <v>100</v>
      </c>
      <c r="K482" s="7"/>
      <c r="L482" s="7"/>
      <c r="M482" s="7"/>
    </row>
    <row r="483" spans="1:13" s="5" customFormat="1" ht="33.75">
      <c r="A483" s="215" t="s">
        <v>106</v>
      </c>
      <c r="B483" s="212" t="s">
        <v>489</v>
      </c>
      <c r="C483" s="213" t="s">
        <v>73</v>
      </c>
      <c r="D483" s="213" t="s">
        <v>68</v>
      </c>
      <c r="E483" s="216" t="s">
        <v>107</v>
      </c>
      <c r="F483" s="210"/>
      <c r="G483" s="214">
        <f t="shared" si="83"/>
        <v>7.7</v>
      </c>
      <c r="H483" s="214">
        <f t="shared" si="83"/>
        <v>7.7</v>
      </c>
      <c r="I483" s="214">
        <f t="shared" si="77"/>
        <v>0</v>
      </c>
      <c r="J483" s="214">
        <f t="shared" si="79"/>
        <v>100</v>
      </c>
      <c r="K483" s="7"/>
      <c r="L483" s="7"/>
      <c r="M483" s="7"/>
    </row>
    <row r="484" spans="1:13" s="5" customFormat="1" ht="36" customHeight="1">
      <c r="A484" s="215" t="s">
        <v>108</v>
      </c>
      <c r="B484" s="212" t="s">
        <v>489</v>
      </c>
      <c r="C484" s="213" t="s">
        <v>73</v>
      </c>
      <c r="D484" s="213" t="s">
        <v>68</v>
      </c>
      <c r="E484" s="216" t="s">
        <v>109</v>
      </c>
      <c r="F484" s="210"/>
      <c r="G484" s="214">
        <f t="shared" si="83"/>
        <v>7.7</v>
      </c>
      <c r="H484" s="214">
        <f t="shared" si="83"/>
        <v>7.7</v>
      </c>
      <c r="I484" s="214">
        <f t="shared" si="77"/>
        <v>0</v>
      </c>
      <c r="J484" s="214">
        <f t="shared" si="79"/>
        <v>100</v>
      </c>
      <c r="K484" s="7"/>
      <c r="L484" s="7"/>
      <c r="M484" s="7"/>
    </row>
    <row r="485" spans="1:13" s="5" customFormat="1" ht="33.75">
      <c r="A485" s="211" t="s">
        <v>173</v>
      </c>
      <c r="B485" s="212" t="s">
        <v>489</v>
      </c>
      <c r="C485" s="213" t="s">
        <v>73</v>
      </c>
      <c r="D485" s="213" t="s">
        <v>68</v>
      </c>
      <c r="E485" s="216" t="s">
        <v>109</v>
      </c>
      <c r="F485" s="210">
        <v>726</v>
      </c>
      <c r="G485" s="214">
        <v>7.7</v>
      </c>
      <c r="H485" s="214">
        <v>7.7</v>
      </c>
      <c r="I485" s="214">
        <f t="shared" si="77"/>
        <v>0</v>
      </c>
      <c r="J485" s="214">
        <f t="shared" si="79"/>
        <v>100</v>
      </c>
      <c r="K485" s="7"/>
      <c r="L485" s="7"/>
      <c r="M485" s="7"/>
    </row>
    <row r="486" spans="1:13" s="5" customFormat="1" ht="31.5">
      <c r="A486" s="207" t="s">
        <v>294</v>
      </c>
      <c r="B486" s="202" t="s">
        <v>473</v>
      </c>
      <c r="C486" s="213"/>
      <c r="D486" s="213"/>
      <c r="E486" s="216"/>
      <c r="F486" s="210"/>
      <c r="G486" s="208">
        <f aca="true" t="shared" si="84" ref="G486:H492">G487</f>
        <v>86.80000000000001</v>
      </c>
      <c r="H486" s="208">
        <f t="shared" si="84"/>
        <v>86.8</v>
      </c>
      <c r="I486" s="208">
        <f t="shared" si="77"/>
        <v>0</v>
      </c>
      <c r="J486" s="208">
        <f t="shared" si="79"/>
        <v>99.99999999999999</v>
      </c>
      <c r="K486" s="7"/>
      <c r="L486" s="7"/>
      <c r="M486" s="7"/>
    </row>
    <row r="487" spans="1:13" s="5" customFormat="1" ht="21.75" customHeight="1">
      <c r="A487" s="207" t="s">
        <v>386</v>
      </c>
      <c r="B487" s="202" t="s">
        <v>474</v>
      </c>
      <c r="C487" s="213"/>
      <c r="D487" s="213"/>
      <c r="E487" s="216"/>
      <c r="F487" s="210"/>
      <c r="G487" s="208">
        <f t="shared" si="84"/>
        <v>86.80000000000001</v>
      </c>
      <c r="H487" s="208">
        <f t="shared" si="84"/>
        <v>86.8</v>
      </c>
      <c r="I487" s="208">
        <f t="shared" si="77"/>
        <v>0</v>
      </c>
      <c r="J487" s="208">
        <f t="shared" si="79"/>
        <v>99.99999999999999</v>
      </c>
      <c r="K487" s="7"/>
      <c r="L487" s="7"/>
      <c r="M487" s="7"/>
    </row>
    <row r="488" spans="1:13" s="5" customFormat="1" ht="12.75">
      <c r="A488" s="207" t="s">
        <v>8</v>
      </c>
      <c r="B488" s="202" t="s">
        <v>474</v>
      </c>
      <c r="C488" s="209" t="s">
        <v>69</v>
      </c>
      <c r="D488" s="209" t="s">
        <v>36</v>
      </c>
      <c r="E488" s="216"/>
      <c r="F488" s="210"/>
      <c r="G488" s="208">
        <f t="shared" si="84"/>
        <v>86.80000000000001</v>
      </c>
      <c r="H488" s="208">
        <f t="shared" si="84"/>
        <v>86.8</v>
      </c>
      <c r="I488" s="208">
        <f t="shared" si="77"/>
        <v>0</v>
      </c>
      <c r="J488" s="208">
        <f t="shared" si="79"/>
        <v>99.99999999999999</v>
      </c>
      <c r="K488" s="7"/>
      <c r="L488" s="7"/>
      <c r="M488" s="7"/>
    </row>
    <row r="489" spans="1:13" s="5" customFormat="1" ht="12.75">
      <c r="A489" s="211" t="s">
        <v>877</v>
      </c>
      <c r="B489" s="212" t="s">
        <v>474</v>
      </c>
      <c r="C489" s="213" t="s">
        <v>69</v>
      </c>
      <c r="D489" s="213" t="s">
        <v>69</v>
      </c>
      <c r="E489" s="216"/>
      <c r="F489" s="210"/>
      <c r="G489" s="214">
        <f t="shared" si="84"/>
        <v>86.80000000000001</v>
      </c>
      <c r="H489" s="214">
        <f t="shared" si="84"/>
        <v>86.8</v>
      </c>
      <c r="I489" s="214">
        <f t="shared" si="77"/>
        <v>0</v>
      </c>
      <c r="J489" s="214">
        <f t="shared" si="79"/>
        <v>99.99999999999999</v>
      </c>
      <c r="K489" s="7"/>
      <c r="L489" s="7"/>
      <c r="M489" s="7"/>
    </row>
    <row r="490" spans="1:13" s="5" customFormat="1" ht="33.75">
      <c r="A490" s="215" t="s">
        <v>114</v>
      </c>
      <c r="B490" s="212" t="s">
        <v>474</v>
      </c>
      <c r="C490" s="213" t="s">
        <v>69</v>
      </c>
      <c r="D490" s="213" t="s">
        <v>69</v>
      </c>
      <c r="E490" s="216" t="s">
        <v>115</v>
      </c>
      <c r="F490" s="210"/>
      <c r="G490" s="214">
        <f t="shared" si="84"/>
        <v>86.80000000000001</v>
      </c>
      <c r="H490" s="214">
        <f t="shared" si="84"/>
        <v>86.8</v>
      </c>
      <c r="I490" s="214">
        <f t="shared" si="77"/>
        <v>0</v>
      </c>
      <c r="J490" s="214">
        <f t="shared" si="79"/>
        <v>99.99999999999999</v>
      </c>
      <c r="K490" s="7"/>
      <c r="L490" s="7"/>
      <c r="M490" s="7"/>
    </row>
    <row r="491" spans="1:13" s="5" customFormat="1" ht="12.75">
      <c r="A491" s="215" t="s">
        <v>120</v>
      </c>
      <c r="B491" s="212" t="s">
        <v>474</v>
      </c>
      <c r="C491" s="213" t="s">
        <v>69</v>
      </c>
      <c r="D491" s="213" t="s">
        <v>69</v>
      </c>
      <c r="E491" s="216" t="s">
        <v>121</v>
      </c>
      <c r="F491" s="210"/>
      <c r="G491" s="214">
        <f t="shared" si="84"/>
        <v>86.80000000000001</v>
      </c>
      <c r="H491" s="214">
        <f t="shared" si="84"/>
        <v>86.8</v>
      </c>
      <c r="I491" s="214">
        <f t="shared" si="77"/>
        <v>0</v>
      </c>
      <c r="J491" s="214">
        <f t="shared" si="79"/>
        <v>99.99999999999999</v>
      </c>
      <c r="K491" s="7"/>
      <c r="L491" s="7"/>
      <c r="M491" s="7"/>
    </row>
    <row r="492" spans="1:13" s="5" customFormat="1" ht="12.75">
      <c r="A492" s="215" t="s">
        <v>124</v>
      </c>
      <c r="B492" s="212" t="s">
        <v>474</v>
      </c>
      <c r="C492" s="213" t="s">
        <v>69</v>
      </c>
      <c r="D492" s="213" t="s">
        <v>69</v>
      </c>
      <c r="E492" s="216" t="s">
        <v>125</v>
      </c>
      <c r="F492" s="210"/>
      <c r="G492" s="214">
        <f t="shared" si="84"/>
        <v>86.80000000000001</v>
      </c>
      <c r="H492" s="214">
        <f t="shared" si="84"/>
        <v>86.8</v>
      </c>
      <c r="I492" s="214">
        <f t="shared" si="77"/>
        <v>0</v>
      </c>
      <c r="J492" s="214">
        <f t="shared" si="79"/>
        <v>99.99999999999999</v>
      </c>
      <c r="K492" s="7"/>
      <c r="L492" s="7"/>
      <c r="M492" s="7"/>
    </row>
    <row r="493" spans="1:13" s="5" customFormat="1" ht="22.5">
      <c r="A493" s="211" t="s">
        <v>172</v>
      </c>
      <c r="B493" s="212" t="s">
        <v>474</v>
      </c>
      <c r="C493" s="213" t="s">
        <v>69</v>
      </c>
      <c r="D493" s="213" t="s">
        <v>69</v>
      </c>
      <c r="E493" s="216" t="s">
        <v>125</v>
      </c>
      <c r="F493" s="210">
        <v>725</v>
      </c>
      <c r="G493" s="214">
        <f>136.4-49.6</f>
        <v>86.80000000000001</v>
      </c>
      <c r="H493" s="214">
        <v>86.8</v>
      </c>
      <c r="I493" s="214">
        <f t="shared" si="77"/>
        <v>0</v>
      </c>
      <c r="J493" s="214">
        <f t="shared" si="79"/>
        <v>99.99999999999999</v>
      </c>
      <c r="K493" s="7"/>
      <c r="L493" s="7"/>
      <c r="M493" s="7"/>
    </row>
    <row r="494" spans="1:13" s="5" customFormat="1" ht="35.25" customHeight="1">
      <c r="A494" s="207" t="s">
        <v>880</v>
      </c>
      <c r="B494" s="202" t="s">
        <v>475</v>
      </c>
      <c r="C494" s="213"/>
      <c r="D494" s="213"/>
      <c r="E494" s="216"/>
      <c r="F494" s="210"/>
      <c r="G494" s="208">
        <f aca="true" t="shared" si="85" ref="G494:H498">G495</f>
        <v>100</v>
      </c>
      <c r="H494" s="208">
        <f t="shared" si="85"/>
        <v>100</v>
      </c>
      <c r="I494" s="208">
        <f t="shared" si="77"/>
        <v>0</v>
      </c>
      <c r="J494" s="208">
        <f t="shared" si="79"/>
        <v>100</v>
      </c>
      <c r="K494" s="7"/>
      <c r="L494" s="7"/>
      <c r="M494" s="7"/>
    </row>
    <row r="495" spans="1:13" s="5" customFormat="1" ht="22.5" customHeight="1">
      <c r="A495" s="207" t="s">
        <v>223</v>
      </c>
      <c r="B495" s="202" t="s">
        <v>476</v>
      </c>
      <c r="C495" s="213"/>
      <c r="D495" s="213"/>
      <c r="E495" s="216"/>
      <c r="F495" s="210"/>
      <c r="G495" s="208">
        <f t="shared" si="85"/>
        <v>100</v>
      </c>
      <c r="H495" s="208">
        <f t="shared" si="85"/>
        <v>100</v>
      </c>
      <c r="I495" s="208">
        <f t="shared" si="77"/>
        <v>0</v>
      </c>
      <c r="J495" s="208">
        <f t="shared" si="79"/>
        <v>100</v>
      </c>
      <c r="K495" s="7"/>
      <c r="L495" s="7"/>
      <c r="M495" s="7"/>
    </row>
    <row r="496" spans="1:13" s="5" customFormat="1" ht="12.75">
      <c r="A496" s="207" t="s">
        <v>8</v>
      </c>
      <c r="B496" s="212" t="s">
        <v>476</v>
      </c>
      <c r="C496" s="209" t="s">
        <v>69</v>
      </c>
      <c r="D496" s="213" t="s">
        <v>36</v>
      </c>
      <c r="E496" s="216"/>
      <c r="F496" s="210"/>
      <c r="G496" s="214">
        <f t="shared" si="85"/>
        <v>100</v>
      </c>
      <c r="H496" s="214">
        <f t="shared" si="85"/>
        <v>100</v>
      </c>
      <c r="I496" s="214">
        <f t="shared" si="77"/>
        <v>0</v>
      </c>
      <c r="J496" s="214">
        <f t="shared" si="79"/>
        <v>100</v>
      </c>
      <c r="K496" s="7"/>
      <c r="L496" s="7"/>
      <c r="M496" s="7"/>
    </row>
    <row r="497" spans="1:13" s="5" customFormat="1" ht="12.75">
      <c r="A497" s="211" t="s">
        <v>877</v>
      </c>
      <c r="B497" s="212" t="s">
        <v>476</v>
      </c>
      <c r="C497" s="213" t="s">
        <v>69</v>
      </c>
      <c r="D497" s="213" t="s">
        <v>69</v>
      </c>
      <c r="E497" s="216"/>
      <c r="F497" s="210"/>
      <c r="G497" s="214">
        <f t="shared" si="85"/>
        <v>100</v>
      </c>
      <c r="H497" s="214">
        <f t="shared" si="85"/>
        <v>100</v>
      </c>
      <c r="I497" s="214">
        <f t="shared" si="77"/>
        <v>0</v>
      </c>
      <c r="J497" s="214">
        <f t="shared" si="79"/>
        <v>100</v>
      </c>
      <c r="K497" s="7"/>
      <c r="L497" s="7"/>
      <c r="M497" s="7"/>
    </row>
    <row r="498" spans="1:13" s="5" customFormat="1" ht="22.5">
      <c r="A498" s="215" t="s">
        <v>126</v>
      </c>
      <c r="B498" s="212" t="s">
        <v>476</v>
      </c>
      <c r="C498" s="213" t="s">
        <v>69</v>
      </c>
      <c r="D498" s="213" t="s">
        <v>69</v>
      </c>
      <c r="E498" s="216" t="s">
        <v>127</v>
      </c>
      <c r="F498" s="210"/>
      <c r="G498" s="214">
        <f t="shared" si="85"/>
        <v>100</v>
      </c>
      <c r="H498" s="214">
        <f t="shared" si="85"/>
        <v>100</v>
      </c>
      <c r="I498" s="214">
        <f t="shared" si="77"/>
        <v>0</v>
      </c>
      <c r="J498" s="214">
        <f t="shared" si="79"/>
        <v>100</v>
      </c>
      <c r="K498" s="7"/>
      <c r="L498" s="7"/>
      <c r="M498" s="7"/>
    </row>
    <row r="499" spans="1:13" s="5" customFormat="1" ht="22.5">
      <c r="A499" s="215" t="s">
        <v>146</v>
      </c>
      <c r="B499" s="212" t="s">
        <v>476</v>
      </c>
      <c r="C499" s="213" t="s">
        <v>69</v>
      </c>
      <c r="D499" s="213" t="s">
        <v>69</v>
      </c>
      <c r="E499" s="216" t="s">
        <v>145</v>
      </c>
      <c r="F499" s="210"/>
      <c r="G499" s="214">
        <f>G501</f>
        <v>100</v>
      </c>
      <c r="H499" s="214">
        <f>H501</f>
        <v>100</v>
      </c>
      <c r="I499" s="214">
        <f t="shared" si="77"/>
        <v>0</v>
      </c>
      <c r="J499" s="214">
        <f t="shared" si="79"/>
        <v>100</v>
      </c>
      <c r="K499" s="7"/>
      <c r="L499" s="7"/>
      <c r="M499" s="7"/>
    </row>
    <row r="500" spans="1:13" s="5" customFormat="1" ht="33.75">
      <c r="A500" s="215" t="s">
        <v>147</v>
      </c>
      <c r="B500" s="212" t="s">
        <v>476</v>
      </c>
      <c r="C500" s="213" t="s">
        <v>69</v>
      </c>
      <c r="D500" s="213" t="s">
        <v>69</v>
      </c>
      <c r="E500" s="216" t="s">
        <v>148</v>
      </c>
      <c r="F500" s="210"/>
      <c r="G500" s="214">
        <f>G501</f>
        <v>100</v>
      </c>
      <c r="H500" s="214">
        <f>H501</f>
        <v>100</v>
      </c>
      <c r="I500" s="214">
        <f t="shared" si="77"/>
        <v>0</v>
      </c>
      <c r="J500" s="214">
        <f t="shared" si="79"/>
        <v>100</v>
      </c>
      <c r="K500" s="7"/>
      <c r="L500" s="7"/>
      <c r="M500" s="7"/>
    </row>
    <row r="501" spans="1:13" s="5" customFormat="1" ht="22.5">
      <c r="A501" s="211" t="s">
        <v>172</v>
      </c>
      <c r="B501" s="212" t="s">
        <v>476</v>
      </c>
      <c r="C501" s="213" t="s">
        <v>69</v>
      </c>
      <c r="D501" s="213" t="s">
        <v>69</v>
      </c>
      <c r="E501" s="216" t="s">
        <v>148</v>
      </c>
      <c r="F501" s="210">
        <v>725</v>
      </c>
      <c r="G501" s="214">
        <v>100</v>
      </c>
      <c r="H501" s="214">
        <v>100</v>
      </c>
      <c r="I501" s="214">
        <f t="shared" si="77"/>
        <v>0</v>
      </c>
      <c r="J501" s="214">
        <f t="shared" si="79"/>
        <v>100</v>
      </c>
      <c r="K501" s="7"/>
      <c r="L501" s="7"/>
      <c r="M501" s="7"/>
    </row>
    <row r="502" spans="1:13" s="5" customFormat="1" ht="45">
      <c r="A502" s="211" t="s">
        <v>630</v>
      </c>
      <c r="B502" s="202" t="s">
        <v>654</v>
      </c>
      <c r="C502" s="213"/>
      <c r="D502" s="213"/>
      <c r="E502" s="210"/>
      <c r="F502" s="210"/>
      <c r="G502" s="208">
        <f>G503</f>
        <v>3357.8</v>
      </c>
      <c r="H502" s="208">
        <f>H503</f>
        <v>3357.8</v>
      </c>
      <c r="I502" s="208">
        <f t="shared" si="77"/>
        <v>0</v>
      </c>
      <c r="J502" s="208">
        <f t="shared" si="79"/>
        <v>100</v>
      </c>
      <c r="K502" s="180"/>
      <c r="L502" s="7"/>
      <c r="M502" s="7"/>
    </row>
    <row r="503" spans="1:13" s="5" customFormat="1" ht="22.5">
      <c r="A503" s="211" t="s">
        <v>372</v>
      </c>
      <c r="B503" s="212" t="s">
        <v>655</v>
      </c>
      <c r="C503" s="216"/>
      <c r="D503" s="213"/>
      <c r="E503" s="210"/>
      <c r="F503" s="210"/>
      <c r="G503" s="208">
        <f>G504</f>
        <v>3357.8</v>
      </c>
      <c r="H503" s="208">
        <f>H504</f>
        <v>3357.8</v>
      </c>
      <c r="I503" s="208">
        <f t="shared" si="77"/>
        <v>0</v>
      </c>
      <c r="J503" s="208">
        <f t="shared" si="79"/>
        <v>100</v>
      </c>
      <c r="K503" s="180"/>
      <c r="L503" s="7"/>
      <c r="M503" s="7"/>
    </row>
    <row r="504" spans="1:13" s="5" customFormat="1" ht="33.75">
      <c r="A504" s="211" t="s">
        <v>631</v>
      </c>
      <c r="B504" s="212" t="s">
        <v>656</v>
      </c>
      <c r="C504" s="216"/>
      <c r="D504" s="213"/>
      <c r="E504" s="210"/>
      <c r="F504" s="210"/>
      <c r="G504" s="208">
        <f>G507</f>
        <v>3357.8</v>
      </c>
      <c r="H504" s="208">
        <f>H507</f>
        <v>3357.8</v>
      </c>
      <c r="I504" s="208">
        <f t="shared" si="77"/>
        <v>0</v>
      </c>
      <c r="J504" s="208">
        <f t="shared" si="79"/>
        <v>100</v>
      </c>
      <c r="K504" s="180"/>
      <c r="L504" s="7"/>
      <c r="M504" s="7"/>
    </row>
    <row r="505" spans="1:13" s="5" customFormat="1" ht="12.75">
      <c r="A505" s="211" t="s">
        <v>247</v>
      </c>
      <c r="B505" s="212" t="s">
        <v>656</v>
      </c>
      <c r="C505" s="216" t="s">
        <v>68</v>
      </c>
      <c r="D505" s="213" t="s">
        <v>36</v>
      </c>
      <c r="E505" s="210"/>
      <c r="F505" s="210"/>
      <c r="G505" s="208">
        <f aca="true" t="shared" si="86" ref="G505:H509">G506</f>
        <v>3357.8</v>
      </c>
      <c r="H505" s="208">
        <f t="shared" si="86"/>
        <v>3357.8</v>
      </c>
      <c r="I505" s="208">
        <f t="shared" si="77"/>
        <v>0</v>
      </c>
      <c r="J505" s="208">
        <f t="shared" si="79"/>
        <v>100</v>
      </c>
      <c r="K505" s="180"/>
      <c r="L505" s="7"/>
      <c r="M505" s="7"/>
    </row>
    <row r="506" spans="1:13" s="5" customFormat="1" ht="12.75">
      <c r="A506" s="211" t="s">
        <v>84</v>
      </c>
      <c r="B506" s="212" t="s">
        <v>656</v>
      </c>
      <c r="C506" s="216" t="s">
        <v>68</v>
      </c>
      <c r="D506" s="213" t="s">
        <v>75</v>
      </c>
      <c r="E506" s="210"/>
      <c r="F506" s="210"/>
      <c r="G506" s="208">
        <f t="shared" si="86"/>
        <v>3357.8</v>
      </c>
      <c r="H506" s="208">
        <f t="shared" si="86"/>
        <v>3357.8</v>
      </c>
      <c r="I506" s="208">
        <f t="shared" si="77"/>
        <v>0</v>
      </c>
      <c r="J506" s="208">
        <f t="shared" si="79"/>
        <v>100</v>
      </c>
      <c r="K506" s="180"/>
      <c r="L506" s="7"/>
      <c r="M506" s="7"/>
    </row>
    <row r="507" spans="1:13" s="5" customFormat="1" ht="22.5">
      <c r="A507" s="215" t="s">
        <v>770</v>
      </c>
      <c r="B507" s="212" t="s">
        <v>656</v>
      </c>
      <c r="C507" s="216" t="s">
        <v>68</v>
      </c>
      <c r="D507" s="213" t="s">
        <v>75</v>
      </c>
      <c r="E507" s="216" t="s">
        <v>113</v>
      </c>
      <c r="F507" s="210"/>
      <c r="G507" s="214">
        <f t="shared" si="86"/>
        <v>3357.8</v>
      </c>
      <c r="H507" s="214">
        <f t="shared" si="86"/>
        <v>3357.8</v>
      </c>
      <c r="I507" s="214">
        <f t="shared" si="77"/>
        <v>0</v>
      </c>
      <c r="J507" s="214">
        <f t="shared" si="79"/>
        <v>100</v>
      </c>
      <c r="K507" s="7"/>
      <c r="L507" s="7"/>
      <c r="M507" s="7"/>
    </row>
    <row r="508" spans="1:13" s="5" customFormat="1" ht="21.75" customHeight="1">
      <c r="A508" s="215" t="s">
        <v>106</v>
      </c>
      <c r="B508" s="212" t="s">
        <v>656</v>
      </c>
      <c r="C508" s="216" t="s">
        <v>68</v>
      </c>
      <c r="D508" s="213" t="s">
        <v>75</v>
      </c>
      <c r="E508" s="216" t="s">
        <v>107</v>
      </c>
      <c r="F508" s="210"/>
      <c r="G508" s="214">
        <f t="shared" si="86"/>
        <v>3357.8</v>
      </c>
      <c r="H508" s="214">
        <f t="shared" si="86"/>
        <v>3357.8</v>
      </c>
      <c r="I508" s="214">
        <f t="shared" si="77"/>
        <v>0</v>
      </c>
      <c r="J508" s="214">
        <f t="shared" si="79"/>
        <v>100</v>
      </c>
      <c r="K508" s="7"/>
      <c r="L508" s="7"/>
      <c r="M508" s="7"/>
    </row>
    <row r="509" spans="1:13" s="5" customFormat="1" ht="33.75">
      <c r="A509" s="215" t="s">
        <v>108</v>
      </c>
      <c r="B509" s="212" t="s">
        <v>656</v>
      </c>
      <c r="C509" s="216" t="s">
        <v>68</v>
      </c>
      <c r="D509" s="213" t="s">
        <v>75</v>
      </c>
      <c r="E509" s="216" t="s">
        <v>109</v>
      </c>
      <c r="F509" s="210"/>
      <c r="G509" s="214">
        <f t="shared" si="86"/>
        <v>3357.8</v>
      </c>
      <c r="H509" s="214">
        <f t="shared" si="86"/>
        <v>3357.8</v>
      </c>
      <c r="I509" s="214">
        <f t="shared" si="77"/>
        <v>0</v>
      </c>
      <c r="J509" s="214">
        <f t="shared" si="79"/>
        <v>100</v>
      </c>
      <c r="K509" s="7"/>
      <c r="L509" s="7"/>
      <c r="M509" s="7"/>
    </row>
    <row r="510" spans="1:13" s="5" customFormat="1" ht="33.75">
      <c r="A510" s="215" t="s">
        <v>587</v>
      </c>
      <c r="B510" s="212" t="s">
        <v>656</v>
      </c>
      <c r="C510" s="216" t="s">
        <v>68</v>
      </c>
      <c r="D510" s="213" t="s">
        <v>75</v>
      </c>
      <c r="E510" s="216" t="s">
        <v>109</v>
      </c>
      <c r="F510" s="210">
        <v>727</v>
      </c>
      <c r="G510" s="214">
        <f>4316.6-958.8</f>
        <v>3357.8</v>
      </c>
      <c r="H510" s="214">
        <v>3357.8</v>
      </c>
      <c r="I510" s="214">
        <f t="shared" si="77"/>
        <v>0</v>
      </c>
      <c r="J510" s="214">
        <f t="shared" si="79"/>
        <v>100</v>
      </c>
      <c r="K510" s="7"/>
      <c r="L510" s="7"/>
      <c r="M510" s="7"/>
    </row>
    <row r="511" spans="1:13" s="5" customFormat="1" ht="22.5" customHeight="1">
      <c r="A511" s="207" t="s">
        <v>366</v>
      </c>
      <c r="B511" s="202" t="s">
        <v>234</v>
      </c>
      <c r="C511" s="213"/>
      <c r="D511" s="213"/>
      <c r="E511" s="216"/>
      <c r="F511" s="210"/>
      <c r="G511" s="208">
        <f>G512+G533</f>
        <v>519.2</v>
      </c>
      <c r="H511" s="208">
        <f>H512+H533</f>
        <v>519.2</v>
      </c>
      <c r="I511" s="208">
        <f t="shared" si="77"/>
        <v>0</v>
      </c>
      <c r="J511" s="208">
        <f t="shared" si="79"/>
        <v>100</v>
      </c>
      <c r="K511" s="180"/>
      <c r="L511" s="7"/>
      <c r="M511" s="7"/>
    </row>
    <row r="512" spans="1:13" s="5" customFormat="1" ht="22.5" customHeight="1">
      <c r="A512" s="207" t="s">
        <v>300</v>
      </c>
      <c r="B512" s="202" t="s">
        <v>490</v>
      </c>
      <c r="C512" s="213"/>
      <c r="D512" s="213"/>
      <c r="E512" s="216"/>
      <c r="F512" s="210"/>
      <c r="G512" s="208">
        <f>G513+G520</f>
        <v>336.1</v>
      </c>
      <c r="H512" s="208">
        <f>H513+H520</f>
        <v>336.1</v>
      </c>
      <c r="I512" s="208">
        <f t="shared" si="77"/>
        <v>0</v>
      </c>
      <c r="J512" s="208">
        <f t="shared" si="79"/>
        <v>100</v>
      </c>
      <c r="K512" s="180"/>
      <c r="L512" s="7"/>
      <c r="M512" s="7"/>
    </row>
    <row r="513" spans="1:13" s="5" customFormat="1" ht="15.75" customHeight="1">
      <c r="A513" s="207" t="s">
        <v>233</v>
      </c>
      <c r="B513" s="202" t="s">
        <v>491</v>
      </c>
      <c r="C513" s="213"/>
      <c r="D513" s="213"/>
      <c r="E513" s="216"/>
      <c r="F513" s="210"/>
      <c r="G513" s="208">
        <f aca="true" t="shared" si="87" ref="G513:H518">G514</f>
        <v>99.7</v>
      </c>
      <c r="H513" s="208">
        <f t="shared" si="87"/>
        <v>99.7</v>
      </c>
      <c r="I513" s="208">
        <f t="shared" si="77"/>
        <v>0</v>
      </c>
      <c r="J513" s="208">
        <f t="shared" si="79"/>
        <v>100</v>
      </c>
      <c r="K513" s="180"/>
      <c r="L513" s="7"/>
      <c r="M513" s="7"/>
    </row>
    <row r="514" spans="1:13" s="5" customFormat="1" ht="12.75">
      <c r="A514" s="232" t="s">
        <v>878</v>
      </c>
      <c r="B514" s="202" t="s">
        <v>491</v>
      </c>
      <c r="C514" s="209" t="s">
        <v>73</v>
      </c>
      <c r="D514" s="209" t="s">
        <v>36</v>
      </c>
      <c r="E514" s="216"/>
      <c r="F514" s="210"/>
      <c r="G514" s="214">
        <f t="shared" si="87"/>
        <v>99.7</v>
      </c>
      <c r="H514" s="214">
        <f t="shared" si="87"/>
        <v>99.7</v>
      </c>
      <c r="I514" s="214">
        <f t="shared" si="77"/>
        <v>0</v>
      </c>
      <c r="J514" s="214">
        <f t="shared" si="79"/>
        <v>100</v>
      </c>
      <c r="K514" s="7"/>
      <c r="L514" s="7"/>
      <c r="M514" s="7"/>
    </row>
    <row r="515" spans="1:13" s="5" customFormat="1" ht="22.5">
      <c r="A515" s="215" t="s">
        <v>88</v>
      </c>
      <c r="B515" s="212" t="s">
        <v>491</v>
      </c>
      <c r="C515" s="213" t="s">
        <v>73</v>
      </c>
      <c r="D515" s="213" t="s">
        <v>68</v>
      </c>
      <c r="E515" s="216"/>
      <c r="F515" s="210"/>
      <c r="G515" s="214">
        <f t="shared" si="87"/>
        <v>99.7</v>
      </c>
      <c r="H515" s="214">
        <f t="shared" si="87"/>
        <v>99.7</v>
      </c>
      <c r="I515" s="214">
        <f t="shared" si="77"/>
        <v>0</v>
      </c>
      <c r="J515" s="214">
        <f t="shared" si="79"/>
        <v>100</v>
      </c>
      <c r="K515" s="7"/>
      <c r="L515" s="7"/>
      <c r="M515" s="7"/>
    </row>
    <row r="516" spans="1:13" s="5" customFormat="1" ht="22.5">
      <c r="A516" s="215" t="s">
        <v>770</v>
      </c>
      <c r="B516" s="212" t="s">
        <v>491</v>
      </c>
      <c r="C516" s="213" t="s">
        <v>73</v>
      </c>
      <c r="D516" s="213" t="s">
        <v>68</v>
      </c>
      <c r="E516" s="216" t="s">
        <v>113</v>
      </c>
      <c r="F516" s="210"/>
      <c r="G516" s="214">
        <f t="shared" si="87"/>
        <v>99.7</v>
      </c>
      <c r="H516" s="214">
        <f t="shared" si="87"/>
        <v>99.7</v>
      </c>
      <c r="I516" s="214">
        <f t="shared" si="77"/>
        <v>0</v>
      </c>
      <c r="J516" s="214">
        <f t="shared" si="79"/>
        <v>100</v>
      </c>
      <c r="K516" s="7"/>
      <c r="L516" s="7"/>
      <c r="M516" s="7"/>
    </row>
    <row r="517" spans="1:13" s="5" customFormat="1" ht="33.75">
      <c r="A517" s="215" t="s">
        <v>106</v>
      </c>
      <c r="B517" s="212" t="s">
        <v>491</v>
      </c>
      <c r="C517" s="213" t="s">
        <v>73</v>
      </c>
      <c r="D517" s="213" t="s">
        <v>68</v>
      </c>
      <c r="E517" s="216" t="s">
        <v>107</v>
      </c>
      <c r="F517" s="210"/>
      <c r="G517" s="214">
        <f t="shared" si="87"/>
        <v>99.7</v>
      </c>
      <c r="H517" s="214">
        <f t="shared" si="87"/>
        <v>99.7</v>
      </c>
      <c r="I517" s="214">
        <f t="shared" si="77"/>
        <v>0</v>
      </c>
      <c r="J517" s="214">
        <f t="shared" si="79"/>
        <v>100</v>
      </c>
      <c r="K517" s="7"/>
      <c r="L517" s="7"/>
      <c r="M517" s="7"/>
    </row>
    <row r="518" spans="1:13" s="5" customFormat="1" ht="33.75">
      <c r="A518" s="215" t="s">
        <v>108</v>
      </c>
      <c r="B518" s="212" t="s">
        <v>491</v>
      </c>
      <c r="C518" s="213" t="s">
        <v>73</v>
      </c>
      <c r="D518" s="213" t="s">
        <v>68</v>
      </c>
      <c r="E518" s="216" t="s">
        <v>109</v>
      </c>
      <c r="F518" s="210"/>
      <c r="G518" s="214">
        <f t="shared" si="87"/>
        <v>99.7</v>
      </c>
      <c r="H518" s="214">
        <f t="shared" si="87"/>
        <v>99.7</v>
      </c>
      <c r="I518" s="214">
        <f t="shared" si="77"/>
        <v>0</v>
      </c>
      <c r="J518" s="214">
        <f t="shared" si="79"/>
        <v>100</v>
      </c>
      <c r="K518" s="7"/>
      <c r="L518" s="7"/>
      <c r="M518" s="7"/>
    </row>
    <row r="519" spans="1:13" s="5" customFormat="1" ht="33.75">
      <c r="A519" s="211" t="s">
        <v>173</v>
      </c>
      <c r="B519" s="212" t="s">
        <v>491</v>
      </c>
      <c r="C519" s="213" t="s">
        <v>73</v>
      </c>
      <c r="D519" s="213" t="s">
        <v>68</v>
      </c>
      <c r="E519" s="216" t="s">
        <v>109</v>
      </c>
      <c r="F519" s="210">
        <v>726</v>
      </c>
      <c r="G519" s="214">
        <f>100-50+49.7</f>
        <v>99.7</v>
      </c>
      <c r="H519" s="214">
        <v>99.7</v>
      </c>
      <c r="I519" s="214">
        <f t="shared" si="77"/>
        <v>0</v>
      </c>
      <c r="J519" s="214">
        <f t="shared" si="79"/>
        <v>100</v>
      </c>
      <c r="K519" s="7"/>
      <c r="L519" s="7"/>
      <c r="M519" s="7"/>
    </row>
    <row r="520" spans="1:13" s="5" customFormat="1" ht="23.25" customHeight="1">
      <c r="A520" s="232" t="s">
        <v>235</v>
      </c>
      <c r="B520" s="202" t="s">
        <v>492</v>
      </c>
      <c r="C520" s="209"/>
      <c r="D520" s="209"/>
      <c r="E520" s="217"/>
      <c r="F520" s="201"/>
      <c r="G520" s="208">
        <f>G521</f>
        <v>236.4</v>
      </c>
      <c r="H520" s="208">
        <f>H521</f>
        <v>236.4</v>
      </c>
      <c r="I520" s="208">
        <f t="shared" si="77"/>
        <v>0</v>
      </c>
      <c r="J520" s="208">
        <f t="shared" si="79"/>
        <v>100</v>
      </c>
      <c r="K520" s="7"/>
      <c r="L520" s="7"/>
      <c r="M520" s="7"/>
    </row>
    <row r="521" spans="1:13" s="5" customFormat="1" ht="12.75">
      <c r="A521" s="232" t="s">
        <v>878</v>
      </c>
      <c r="B521" s="202" t="s">
        <v>492</v>
      </c>
      <c r="C521" s="209" t="s">
        <v>73</v>
      </c>
      <c r="D521" s="209" t="s">
        <v>36</v>
      </c>
      <c r="E521" s="217"/>
      <c r="F521" s="201"/>
      <c r="G521" s="208">
        <f>G522</f>
        <v>236.4</v>
      </c>
      <c r="H521" s="208">
        <f>H522</f>
        <v>236.4</v>
      </c>
      <c r="I521" s="208">
        <f aca="true" t="shared" si="88" ref="I521:I584">G521-H521</f>
        <v>0</v>
      </c>
      <c r="J521" s="208">
        <f t="shared" si="79"/>
        <v>100</v>
      </c>
      <c r="K521" s="7"/>
      <c r="L521" s="7"/>
      <c r="M521" s="7"/>
    </row>
    <row r="522" spans="1:13" s="5" customFormat="1" ht="22.5">
      <c r="A522" s="215" t="s">
        <v>88</v>
      </c>
      <c r="B522" s="212" t="s">
        <v>492</v>
      </c>
      <c r="C522" s="213" t="s">
        <v>73</v>
      </c>
      <c r="D522" s="213" t="s">
        <v>68</v>
      </c>
      <c r="E522" s="217"/>
      <c r="F522" s="201"/>
      <c r="G522" s="214">
        <f>G523+G529</f>
        <v>236.4</v>
      </c>
      <c r="H522" s="214">
        <f>H523+H529</f>
        <v>236.4</v>
      </c>
      <c r="I522" s="214">
        <f t="shared" si="88"/>
        <v>0</v>
      </c>
      <c r="J522" s="214">
        <f t="shared" si="79"/>
        <v>100</v>
      </c>
      <c r="K522" s="7"/>
      <c r="L522" s="7"/>
      <c r="M522" s="7"/>
    </row>
    <row r="523" spans="1:13" s="5" customFormat="1" ht="59.25" customHeight="1">
      <c r="A523" s="215" t="s">
        <v>110</v>
      </c>
      <c r="B523" s="212" t="s">
        <v>492</v>
      </c>
      <c r="C523" s="213" t="s">
        <v>73</v>
      </c>
      <c r="D523" s="213" t="s">
        <v>68</v>
      </c>
      <c r="E523" s="216" t="s">
        <v>111</v>
      </c>
      <c r="F523" s="210"/>
      <c r="G523" s="214">
        <f>G524</f>
        <v>82.5</v>
      </c>
      <c r="H523" s="214">
        <f>H524</f>
        <v>82.5</v>
      </c>
      <c r="I523" s="214">
        <f t="shared" si="88"/>
        <v>0</v>
      </c>
      <c r="J523" s="214">
        <f t="shared" si="79"/>
        <v>100</v>
      </c>
      <c r="K523" s="7"/>
      <c r="L523" s="7"/>
      <c r="M523" s="7"/>
    </row>
    <row r="524" spans="1:13" s="5" customFormat="1" ht="22.5">
      <c r="A524" s="215" t="s">
        <v>406</v>
      </c>
      <c r="B524" s="212" t="s">
        <v>492</v>
      </c>
      <c r="C524" s="213" t="s">
        <v>73</v>
      </c>
      <c r="D524" s="213" t="s">
        <v>68</v>
      </c>
      <c r="E524" s="216" t="s">
        <v>408</v>
      </c>
      <c r="F524" s="210"/>
      <c r="G524" s="214">
        <f>G525+G527</f>
        <v>82.5</v>
      </c>
      <c r="H524" s="214">
        <f>H525+H527</f>
        <v>82.5</v>
      </c>
      <c r="I524" s="214">
        <f t="shared" si="88"/>
        <v>0</v>
      </c>
      <c r="J524" s="214">
        <f t="shared" si="79"/>
        <v>100</v>
      </c>
      <c r="K524" s="7"/>
      <c r="L524" s="7"/>
      <c r="M524" s="7"/>
    </row>
    <row r="525" spans="1:13" s="5" customFormat="1" ht="22.5">
      <c r="A525" s="215" t="s">
        <v>574</v>
      </c>
      <c r="B525" s="212" t="s">
        <v>492</v>
      </c>
      <c r="C525" s="213" t="s">
        <v>73</v>
      </c>
      <c r="D525" s="213" t="s">
        <v>68</v>
      </c>
      <c r="E525" s="216" t="s">
        <v>407</v>
      </c>
      <c r="F525" s="210"/>
      <c r="G525" s="214">
        <f>G526</f>
        <v>4.399999999999999</v>
      </c>
      <c r="H525" s="214">
        <f>H526</f>
        <v>4.4</v>
      </c>
      <c r="I525" s="214">
        <f t="shared" si="88"/>
        <v>0</v>
      </c>
      <c r="J525" s="214">
        <f t="shared" si="79"/>
        <v>100.00000000000004</v>
      </c>
      <c r="K525" s="7"/>
      <c r="L525" s="7"/>
      <c r="M525" s="7"/>
    </row>
    <row r="526" spans="1:13" s="5" customFormat="1" ht="33.75">
      <c r="A526" s="211" t="s">
        <v>173</v>
      </c>
      <c r="B526" s="212" t="s">
        <v>492</v>
      </c>
      <c r="C526" s="213" t="s">
        <v>73</v>
      </c>
      <c r="D526" s="213" t="s">
        <v>68</v>
      </c>
      <c r="E526" s="216" t="s">
        <v>407</v>
      </c>
      <c r="F526" s="210">
        <v>726</v>
      </c>
      <c r="G526" s="214">
        <f>70-10-55.6</f>
        <v>4.399999999999999</v>
      </c>
      <c r="H526" s="214">
        <v>4.4</v>
      </c>
      <c r="I526" s="214">
        <f t="shared" si="88"/>
        <v>0</v>
      </c>
      <c r="J526" s="214">
        <f aca="true" t="shared" si="89" ref="J526:J589">H526/G526*100</f>
        <v>100.00000000000004</v>
      </c>
      <c r="K526" s="7"/>
      <c r="L526" s="7"/>
      <c r="M526" s="7"/>
    </row>
    <row r="527" spans="1:13" s="5" customFormat="1" ht="45">
      <c r="A527" s="221" t="s">
        <v>753</v>
      </c>
      <c r="B527" s="212" t="s">
        <v>492</v>
      </c>
      <c r="C527" s="213" t="s">
        <v>73</v>
      </c>
      <c r="D527" s="213" t="s">
        <v>68</v>
      </c>
      <c r="E527" s="216" t="s">
        <v>754</v>
      </c>
      <c r="F527" s="210"/>
      <c r="G527" s="214">
        <f>G528</f>
        <v>78.1</v>
      </c>
      <c r="H527" s="214">
        <f>H528</f>
        <v>78.1</v>
      </c>
      <c r="I527" s="214">
        <f t="shared" si="88"/>
        <v>0</v>
      </c>
      <c r="J527" s="214">
        <f t="shared" si="89"/>
        <v>100</v>
      </c>
      <c r="K527" s="7"/>
      <c r="L527" s="7"/>
      <c r="M527" s="7"/>
    </row>
    <row r="528" spans="1:13" s="5" customFormat="1" ht="33.75">
      <c r="A528" s="211" t="s">
        <v>173</v>
      </c>
      <c r="B528" s="212" t="s">
        <v>492</v>
      </c>
      <c r="C528" s="213" t="s">
        <v>73</v>
      </c>
      <c r="D528" s="213" t="s">
        <v>68</v>
      </c>
      <c r="E528" s="216" t="s">
        <v>754</v>
      </c>
      <c r="F528" s="210">
        <v>726</v>
      </c>
      <c r="G528" s="214">
        <f>38.5+39.6</f>
        <v>78.1</v>
      </c>
      <c r="H528" s="214">
        <v>78.1</v>
      </c>
      <c r="I528" s="214">
        <f t="shared" si="88"/>
        <v>0</v>
      </c>
      <c r="J528" s="214">
        <f t="shared" si="89"/>
        <v>100</v>
      </c>
      <c r="K528" s="7"/>
      <c r="L528" s="7"/>
      <c r="M528" s="7"/>
    </row>
    <row r="529" spans="1:13" s="5" customFormat="1" ht="22.5">
      <c r="A529" s="215" t="s">
        <v>770</v>
      </c>
      <c r="B529" s="212" t="s">
        <v>492</v>
      </c>
      <c r="C529" s="213" t="s">
        <v>73</v>
      </c>
      <c r="D529" s="213" t="s">
        <v>68</v>
      </c>
      <c r="E529" s="216" t="s">
        <v>113</v>
      </c>
      <c r="F529" s="210"/>
      <c r="G529" s="214">
        <f aca="true" t="shared" si="90" ref="G529:H531">G530</f>
        <v>153.9</v>
      </c>
      <c r="H529" s="214">
        <f t="shared" si="90"/>
        <v>153.9</v>
      </c>
      <c r="I529" s="214">
        <f t="shared" si="88"/>
        <v>0</v>
      </c>
      <c r="J529" s="214">
        <f t="shared" si="89"/>
        <v>100</v>
      </c>
      <c r="K529" s="7"/>
      <c r="L529" s="7"/>
      <c r="M529" s="7"/>
    </row>
    <row r="530" spans="1:13" s="5" customFormat="1" ht="34.5" customHeight="1">
      <c r="A530" s="215" t="s">
        <v>106</v>
      </c>
      <c r="B530" s="212" t="s">
        <v>492</v>
      </c>
      <c r="C530" s="213" t="s">
        <v>73</v>
      </c>
      <c r="D530" s="213" t="s">
        <v>68</v>
      </c>
      <c r="E530" s="216" t="s">
        <v>107</v>
      </c>
      <c r="F530" s="210"/>
      <c r="G530" s="214">
        <f t="shared" si="90"/>
        <v>153.9</v>
      </c>
      <c r="H530" s="214">
        <f t="shared" si="90"/>
        <v>153.9</v>
      </c>
      <c r="I530" s="214">
        <f t="shared" si="88"/>
        <v>0</v>
      </c>
      <c r="J530" s="214">
        <f t="shared" si="89"/>
        <v>100</v>
      </c>
      <c r="K530" s="7"/>
      <c r="L530" s="7"/>
      <c r="M530" s="7"/>
    </row>
    <row r="531" spans="1:13" s="5" customFormat="1" ht="33.75">
      <c r="A531" s="215" t="s">
        <v>108</v>
      </c>
      <c r="B531" s="212" t="s">
        <v>492</v>
      </c>
      <c r="C531" s="213" t="s">
        <v>73</v>
      </c>
      <c r="D531" s="213" t="s">
        <v>68</v>
      </c>
      <c r="E531" s="216" t="s">
        <v>109</v>
      </c>
      <c r="F531" s="210"/>
      <c r="G531" s="214">
        <f t="shared" si="90"/>
        <v>153.9</v>
      </c>
      <c r="H531" s="214">
        <f t="shared" si="90"/>
        <v>153.9</v>
      </c>
      <c r="I531" s="214">
        <f t="shared" si="88"/>
        <v>0</v>
      </c>
      <c r="J531" s="214">
        <f t="shared" si="89"/>
        <v>100</v>
      </c>
      <c r="K531" s="7"/>
      <c r="L531" s="7"/>
      <c r="M531" s="7"/>
    </row>
    <row r="532" spans="1:13" s="5" customFormat="1" ht="33.75">
      <c r="A532" s="211" t="s">
        <v>173</v>
      </c>
      <c r="B532" s="212" t="s">
        <v>492</v>
      </c>
      <c r="C532" s="213" t="s">
        <v>73</v>
      </c>
      <c r="D532" s="213" t="s">
        <v>68</v>
      </c>
      <c r="E532" s="216" t="s">
        <v>109</v>
      </c>
      <c r="F532" s="210">
        <v>726</v>
      </c>
      <c r="G532" s="214">
        <f>56+74+46.4+17.1-39.6</f>
        <v>153.9</v>
      </c>
      <c r="H532" s="214">
        <v>153.9</v>
      </c>
      <c r="I532" s="214">
        <f t="shared" si="88"/>
        <v>0</v>
      </c>
      <c r="J532" s="214">
        <f t="shared" si="89"/>
        <v>100</v>
      </c>
      <c r="K532" s="7"/>
      <c r="L532" s="7"/>
      <c r="M532" s="7"/>
    </row>
    <row r="533" spans="1:10" s="7" customFormat="1" ht="31.5">
      <c r="A533" s="222" t="s">
        <v>703</v>
      </c>
      <c r="B533" s="219" t="s">
        <v>704</v>
      </c>
      <c r="C533" s="223"/>
      <c r="D533" s="223"/>
      <c r="E533" s="223"/>
      <c r="F533" s="230"/>
      <c r="G533" s="224">
        <f>G541+G548+G534</f>
        <v>183.1</v>
      </c>
      <c r="H533" s="224">
        <f>H541+H548+H534</f>
        <v>183.1</v>
      </c>
      <c r="I533" s="208">
        <f t="shared" si="88"/>
        <v>0</v>
      </c>
      <c r="J533" s="208">
        <f t="shared" si="89"/>
        <v>100</v>
      </c>
    </row>
    <row r="534" spans="1:10" s="7" customFormat="1" ht="35.25" customHeight="1">
      <c r="A534" s="222" t="s">
        <v>723</v>
      </c>
      <c r="B534" s="233" t="s">
        <v>710</v>
      </c>
      <c r="C534" s="223"/>
      <c r="D534" s="223"/>
      <c r="E534" s="223"/>
      <c r="F534" s="230"/>
      <c r="G534" s="224">
        <f aca="true" t="shared" si="91" ref="G534:H539">G535</f>
        <v>2.4</v>
      </c>
      <c r="H534" s="224">
        <f t="shared" si="91"/>
        <v>2.4</v>
      </c>
      <c r="I534" s="208">
        <f t="shared" si="88"/>
        <v>0</v>
      </c>
      <c r="J534" s="208">
        <f t="shared" si="89"/>
        <v>100</v>
      </c>
    </row>
    <row r="535" spans="1:10" s="7" customFormat="1" ht="12.75">
      <c r="A535" s="232" t="s">
        <v>878</v>
      </c>
      <c r="B535" s="233" t="s">
        <v>710</v>
      </c>
      <c r="C535" s="209" t="s">
        <v>73</v>
      </c>
      <c r="D535" s="209" t="s">
        <v>36</v>
      </c>
      <c r="E535" s="223"/>
      <c r="F535" s="230"/>
      <c r="G535" s="224">
        <f t="shared" si="91"/>
        <v>2.4</v>
      </c>
      <c r="H535" s="224">
        <f t="shared" si="91"/>
        <v>2.4</v>
      </c>
      <c r="I535" s="208">
        <f t="shared" si="88"/>
        <v>0</v>
      </c>
      <c r="J535" s="208">
        <f t="shared" si="89"/>
        <v>100</v>
      </c>
    </row>
    <row r="536" spans="1:10" s="7" customFormat="1" ht="12.75">
      <c r="A536" s="221" t="s">
        <v>12</v>
      </c>
      <c r="B536" s="234" t="s">
        <v>710</v>
      </c>
      <c r="C536" s="225" t="s">
        <v>73</v>
      </c>
      <c r="D536" s="225" t="s">
        <v>66</v>
      </c>
      <c r="E536" s="225"/>
      <c r="F536" s="231"/>
      <c r="G536" s="226">
        <f t="shared" si="91"/>
        <v>2.4</v>
      </c>
      <c r="H536" s="226">
        <f t="shared" si="91"/>
        <v>2.4</v>
      </c>
      <c r="I536" s="214">
        <f t="shared" si="88"/>
        <v>0</v>
      </c>
      <c r="J536" s="214">
        <f t="shared" si="89"/>
        <v>100</v>
      </c>
    </row>
    <row r="537" spans="1:10" s="7" customFormat="1" ht="33.75">
      <c r="A537" s="221" t="s">
        <v>114</v>
      </c>
      <c r="B537" s="234" t="s">
        <v>710</v>
      </c>
      <c r="C537" s="225" t="s">
        <v>73</v>
      </c>
      <c r="D537" s="225" t="s">
        <v>66</v>
      </c>
      <c r="E537" s="225" t="s">
        <v>115</v>
      </c>
      <c r="F537" s="231"/>
      <c r="G537" s="226">
        <f t="shared" si="91"/>
        <v>2.4</v>
      </c>
      <c r="H537" s="226">
        <f t="shared" si="91"/>
        <v>2.4</v>
      </c>
      <c r="I537" s="214">
        <f t="shared" si="88"/>
        <v>0</v>
      </c>
      <c r="J537" s="214">
        <f t="shared" si="89"/>
        <v>100</v>
      </c>
    </row>
    <row r="538" spans="1:10" s="7" customFormat="1" ht="12.75">
      <c r="A538" s="221" t="s">
        <v>120</v>
      </c>
      <c r="B538" s="234" t="s">
        <v>710</v>
      </c>
      <c r="C538" s="225" t="s">
        <v>73</v>
      </c>
      <c r="D538" s="225" t="s">
        <v>66</v>
      </c>
      <c r="E538" s="225" t="s">
        <v>121</v>
      </c>
      <c r="F538" s="231"/>
      <c r="G538" s="226">
        <f t="shared" si="91"/>
        <v>2.4</v>
      </c>
      <c r="H538" s="226">
        <f t="shared" si="91"/>
        <v>2.4</v>
      </c>
      <c r="I538" s="214">
        <f t="shared" si="88"/>
        <v>0</v>
      </c>
      <c r="J538" s="214">
        <f t="shared" si="89"/>
        <v>100</v>
      </c>
    </row>
    <row r="539" spans="1:10" s="7" customFormat="1" ht="12.75">
      <c r="A539" s="221" t="s">
        <v>124</v>
      </c>
      <c r="B539" s="234" t="s">
        <v>710</v>
      </c>
      <c r="C539" s="225" t="s">
        <v>73</v>
      </c>
      <c r="D539" s="225" t="s">
        <v>66</v>
      </c>
      <c r="E539" s="225" t="s">
        <v>125</v>
      </c>
      <c r="F539" s="231"/>
      <c r="G539" s="226">
        <f t="shared" si="91"/>
        <v>2.4</v>
      </c>
      <c r="H539" s="226">
        <f t="shared" si="91"/>
        <v>2.4</v>
      </c>
      <c r="I539" s="214">
        <f t="shared" si="88"/>
        <v>0</v>
      </c>
      <c r="J539" s="214">
        <f t="shared" si="89"/>
        <v>100</v>
      </c>
    </row>
    <row r="540" spans="1:10" s="7" customFormat="1" ht="22.5" customHeight="1">
      <c r="A540" s="211" t="s">
        <v>173</v>
      </c>
      <c r="B540" s="234" t="s">
        <v>710</v>
      </c>
      <c r="C540" s="225" t="s">
        <v>73</v>
      </c>
      <c r="D540" s="225" t="s">
        <v>66</v>
      </c>
      <c r="E540" s="225" t="s">
        <v>125</v>
      </c>
      <c r="F540" s="231">
        <v>726</v>
      </c>
      <c r="G540" s="226">
        <f>2.8-0.4</f>
        <v>2.4</v>
      </c>
      <c r="H540" s="226">
        <v>2.4</v>
      </c>
      <c r="I540" s="214">
        <f t="shared" si="88"/>
        <v>0</v>
      </c>
      <c r="J540" s="214">
        <f t="shared" si="89"/>
        <v>100</v>
      </c>
    </row>
    <row r="541" spans="1:10" s="7" customFormat="1" ht="34.5" customHeight="1">
      <c r="A541" s="222" t="s">
        <v>705</v>
      </c>
      <c r="B541" s="223" t="s">
        <v>706</v>
      </c>
      <c r="C541" s="223"/>
      <c r="D541" s="223"/>
      <c r="E541" s="223"/>
      <c r="F541" s="230"/>
      <c r="G541" s="224">
        <f aca="true" t="shared" si="92" ref="G541:H546">G542</f>
        <v>170.7</v>
      </c>
      <c r="H541" s="224">
        <f t="shared" si="92"/>
        <v>170.7</v>
      </c>
      <c r="I541" s="208">
        <f t="shared" si="88"/>
        <v>0</v>
      </c>
      <c r="J541" s="208">
        <f t="shared" si="89"/>
        <v>100</v>
      </c>
    </row>
    <row r="542" spans="1:10" s="7" customFormat="1" ht="12.75">
      <c r="A542" s="232" t="s">
        <v>878</v>
      </c>
      <c r="B542" s="223" t="s">
        <v>706</v>
      </c>
      <c r="C542" s="209" t="s">
        <v>73</v>
      </c>
      <c r="D542" s="209" t="s">
        <v>36</v>
      </c>
      <c r="E542" s="223"/>
      <c r="F542" s="230"/>
      <c r="G542" s="224">
        <f t="shared" si="92"/>
        <v>170.7</v>
      </c>
      <c r="H542" s="224">
        <f t="shared" si="92"/>
        <v>170.7</v>
      </c>
      <c r="I542" s="208">
        <f t="shared" si="88"/>
        <v>0</v>
      </c>
      <c r="J542" s="208">
        <f t="shared" si="89"/>
        <v>100</v>
      </c>
    </row>
    <row r="543" spans="1:10" s="7" customFormat="1" ht="12.75">
      <c r="A543" s="221" t="s">
        <v>12</v>
      </c>
      <c r="B543" s="225" t="s">
        <v>706</v>
      </c>
      <c r="C543" s="225" t="s">
        <v>73</v>
      </c>
      <c r="D543" s="225" t="s">
        <v>66</v>
      </c>
      <c r="E543" s="223"/>
      <c r="F543" s="230"/>
      <c r="G543" s="226">
        <f t="shared" si="92"/>
        <v>170.7</v>
      </c>
      <c r="H543" s="226">
        <f t="shared" si="92"/>
        <v>170.7</v>
      </c>
      <c r="I543" s="214">
        <f t="shared" si="88"/>
        <v>0</v>
      </c>
      <c r="J543" s="214">
        <f t="shared" si="89"/>
        <v>100</v>
      </c>
    </row>
    <row r="544" spans="1:10" s="7" customFormat="1" ht="33.75">
      <c r="A544" s="221" t="s">
        <v>114</v>
      </c>
      <c r="B544" s="225" t="s">
        <v>706</v>
      </c>
      <c r="C544" s="225" t="s">
        <v>73</v>
      </c>
      <c r="D544" s="225" t="s">
        <v>66</v>
      </c>
      <c r="E544" s="225" t="s">
        <v>115</v>
      </c>
      <c r="F544" s="231"/>
      <c r="G544" s="226">
        <f t="shared" si="92"/>
        <v>170.7</v>
      </c>
      <c r="H544" s="226">
        <f t="shared" si="92"/>
        <v>170.7</v>
      </c>
      <c r="I544" s="214">
        <f t="shared" si="88"/>
        <v>0</v>
      </c>
      <c r="J544" s="214">
        <f t="shared" si="89"/>
        <v>100</v>
      </c>
    </row>
    <row r="545" spans="1:10" s="7" customFormat="1" ht="12.75">
      <c r="A545" s="221" t="s">
        <v>120</v>
      </c>
      <c r="B545" s="225" t="s">
        <v>706</v>
      </c>
      <c r="C545" s="225" t="s">
        <v>73</v>
      </c>
      <c r="D545" s="225" t="s">
        <v>66</v>
      </c>
      <c r="E545" s="225" t="s">
        <v>121</v>
      </c>
      <c r="F545" s="231"/>
      <c r="G545" s="226">
        <f t="shared" si="92"/>
        <v>170.7</v>
      </c>
      <c r="H545" s="226">
        <f t="shared" si="92"/>
        <v>170.7</v>
      </c>
      <c r="I545" s="214">
        <f t="shared" si="88"/>
        <v>0</v>
      </c>
      <c r="J545" s="214">
        <f t="shared" si="89"/>
        <v>100</v>
      </c>
    </row>
    <row r="546" spans="1:10" s="7" customFormat="1" ht="12.75">
      <c r="A546" s="221" t="s">
        <v>124</v>
      </c>
      <c r="B546" s="225" t="s">
        <v>706</v>
      </c>
      <c r="C546" s="225" t="s">
        <v>73</v>
      </c>
      <c r="D546" s="225" t="s">
        <v>66</v>
      </c>
      <c r="E546" s="225" t="s">
        <v>125</v>
      </c>
      <c r="F546" s="231"/>
      <c r="G546" s="226">
        <f t="shared" si="92"/>
        <v>170.7</v>
      </c>
      <c r="H546" s="226">
        <f t="shared" si="92"/>
        <v>170.7</v>
      </c>
      <c r="I546" s="214">
        <f t="shared" si="88"/>
        <v>0</v>
      </c>
      <c r="J546" s="214">
        <f t="shared" si="89"/>
        <v>100</v>
      </c>
    </row>
    <row r="547" spans="1:10" s="7" customFormat="1" ht="33.75">
      <c r="A547" s="211" t="s">
        <v>173</v>
      </c>
      <c r="B547" s="225" t="s">
        <v>706</v>
      </c>
      <c r="C547" s="225" t="s">
        <v>73</v>
      </c>
      <c r="D547" s="225" t="s">
        <v>66</v>
      </c>
      <c r="E547" s="225" t="s">
        <v>125</v>
      </c>
      <c r="F547" s="231">
        <v>726</v>
      </c>
      <c r="G547" s="226">
        <v>170.7</v>
      </c>
      <c r="H547" s="226">
        <v>170.7</v>
      </c>
      <c r="I547" s="214">
        <f t="shared" si="88"/>
        <v>0</v>
      </c>
      <c r="J547" s="214">
        <f t="shared" si="89"/>
        <v>100</v>
      </c>
    </row>
    <row r="548" spans="1:10" s="7" customFormat="1" ht="31.5">
      <c r="A548" s="222" t="s">
        <v>707</v>
      </c>
      <c r="B548" s="223" t="s">
        <v>708</v>
      </c>
      <c r="C548" s="223"/>
      <c r="D548" s="223"/>
      <c r="E548" s="223"/>
      <c r="F548" s="230"/>
      <c r="G548" s="224">
        <f>G551</f>
        <v>10</v>
      </c>
      <c r="H548" s="224">
        <f>H551</f>
        <v>10</v>
      </c>
      <c r="I548" s="208">
        <f t="shared" si="88"/>
        <v>0</v>
      </c>
      <c r="J548" s="208">
        <f t="shared" si="89"/>
        <v>100</v>
      </c>
    </row>
    <row r="549" spans="1:10" s="7" customFormat="1" ht="12.75">
      <c r="A549" s="232" t="s">
        <v>878</v>
      </c>
      <c r="B549" s="223" t="s">
        <v>708</v>
      </c>
      <c r="C549" s="223" t="s">
        <v>73</v>
      </c>
      <c r="D549" s="223" t="s">
        <v>36</v>
      </c>
      <c r="E549" s="223"/>
      <c r="F549" s="230"/>
      <c r="G549" s="224">
        <f aca="true" t="shared" si="93" ref="G549:H553">G550</f>
        <v>10</v>
      </c>
      <c r="H549" s="224">
        <f t="shared" si="93"/>
        <v>10</v>
      </c>
      <c r="I549" s="208">
        <f t="shared" si="88"/>
        <v>0</v>
      </c>
      <c r="J549" s="208">
        <f t="shared" si="89"/>
        <v>100</v>
      </c>
    </row>
    <row r="550" spans="1:10" s="7" customFormat="1" ht="12.75">
      <c r="A550" s="221" t="s">
        <v>12</v>
      </c>
      <c r="B550" s="225" t="s">
        <v>708</v>
      </c>
      <c r="C550" s="225" t="s">
        <v>73</v>
      </c>
      <c r="D550" s="225" t="s">
        <v>66</v>
      </c>
      <c r="E550" s="225"/>
      <c r="F550" s="231"/>
      <c r="G550" s="226">
        <f t="shared" si="93"/>
        <v>10</v>
      </c>
      <c r="H550" s="226">
        <f t="shared" si="93"/>
        <v>10</v>
      </c>
      <c r="I550" s="214">
        <f t="shared" si="88"/>
        <v>0</v>
      </c>
      <c r="J550" s="214">
        <f t="shared" si="89"/>
        <v>100</v>
      </c>
    </row>
    <row r="551" spans="1:10" s="7" customFormat="1" ht="33.75">
      <c r="A551" s="221" t="s">
        <v>114</v>
      </c>
      <c r="B551" s="225" t="s">
        <v>708</v>
      </c>
      <c r="C551" s="225" t="s">
        <v>73</v>
      </c>
      <c r="D551" s="225" t="s">
        <v>66</v>
      </c>
      <c r="E551" s="225" t="s">
        <v>115</v>
      </c>
      <c r="F551" s="231"/>
      <c r="G551" s="226">
        <f t="shared" si="93"/>
        <v>10</v>
      </c>
      <c r="H551" s="226">
        <f t="shared" si="93"/>
        <v>10</v>
      </c>
      <c r="I551" s="214">
        <f t="shared" si="88"/>
        <v>0</v>
      </c>
      <c r="J551" s="214">
        <f t="shared" si="89"/>
        <v>100</v>
      </c>
    </row>
    <row r="552" spans="1:10" s="7" customFormat="1" ht="12.75">
      <c r="A552" s="221" t="s">
        <v>120</v>
      </c>
      <c r="B552" s="225" t="s">
        <v>708</v>
      </c>
      <c r="C552" s="225" t="s">
        <v>73</v>
      </c>
      <c r="D552" s="225" t="s">
        <v>66</v>
      </c>
      <c r="E552" s="225" t="s">
        <v>121</v>
      </c>
      <c r="F552" s="231"/>
      <c r="G552" s="226">
        <f t="shared" si="93"/>
        <v>10</v>
      </c>
      <c r="H552" s="226">
        <f t="shared" si="93"/>
        <v>10</v>
      </c>
      <c r="I552" s="214">
        <f t="shared" si="88"/>
        <v>0</v>
      </c>
      <c r="J552" s="214">
        <f t="shared" si="89"/>
        <v>100</v>
      </c>
    </row>
    <row r="553" spans="1:10" s="7" customFormat="1" ht="12.75">
      <c r="A553" s="221" t="s">
        <v>124</v>
      </c>
      <c r="B553" s="225" t="s">
        <v>708</v>
      </c>
      <c r="C553" s="225" t="s">
        <v>73</v>
      </c>
      <c r="D553" s="225" t="s">
        <v>66</v>
      </c>
      <c r="E553" s="225" t="s">
        <v>125</v>
      </c>
      <c r="F553" s="231"/>
      <c r="G553" s="226">
        <f t="shared" si="93"/>
        <v>10</v>
      </c>
      <c r="H553" s="226">
        <f t="shared" si="93"/>
        <v>10</v>
      </c>
      <c r="I553" s="214">
        <f t="shared" si="88"/>
        <v>0</v>
      </c>
      <c r="J553" s="214">
        <f t="shared" si="89"/>
        <v>100</v>
      </c>
    </row>
    <row r="554" spans="1:10" s="7" customFormat="1" ht="33.75">
      <c r="A554" s="211" t="s">
        <v>173</v>
      </c>
      <c r="B554" s="225" t="s">
        <v>708</v>
      </c>
      <c r="C554" s="225" t="s">
        <v>73</v>
      </c>
      <c r="D554" s="225" t="s">
        <v>66</v>
      </c>
      <c r="E554" s="225" t="s">
        <v>125</v>
      </c>
      <c r="F554" s="231">
        <v>726</v>
      </c>
      <c r="G554" s="226">
        <v>10</v>
      </c>
      <c r="H554" s="226">
        <v>10</v>
      </c>
      <c r="I554" s="214">
        <f t="shared" si="88"/>
        <v>0</v>
      </c>
      <c r="J554" s="214">
        <f t="shared" si="89"/>
        <v>100</v>
      </c>
    </row>
    <row r="555" spans="1:13" s="5" customFormat="1" ht="33.75" customHeight="1">
      <c r="A555" s="232" t="s">
        <v>566</v>
      </c>
      <c r="B555" s="202" t="s">
        <v>198</v>
      </c>
      <c r="C555" s="213"/>
      <c r="D555" s="213"/>
      <c r="E555" s="216"/>
      <c r="F555" s="210"/>
      <c r="G555" s="208">
        <f>G556</f>
        <v>323</v>
      </c>
      <c r="H555" s="208">
        <f>H556</f>
        <v>268</v>
      </c>
      <c r="I555" s="208">
        <f t="shared" si="88"/>
        <v>55</v>
      </c>
      <c r="J555" s="208">
        <f t="shared" si="89"/>
        <v>82.97213622291022</v>
      </c>
      <c r="K555" s="7"/>
      <c r="L555" s="7"/>
      <c r="M555" s="7"/>
    </row>
    <row r="556" spans="1:13" s="5" customFormat="1" ht="54.75" customHeight="1">
      <c r="A556" s="232" t="s">
        <v>287</v>
      </c>
      <c r="B556" s="202" t="s">
        <v>448</v>
      </c>
      <c r="C556" s="213"/>
      <c r="D556" s="213"/>
      <c r="E556" s="216"/>
      <c r="F556" s="210"/>
      <c r="G556" s="208">
        <f>G557+G564+G571</f>
        <v>323</v>
      </c>
      <c r="H556" s="208">
        <f>H557+H564+H571</f>
        <v>268</v>
      </c>
      <c r="I556" s="208">
        <f t="shared" si="88"/>
        <v>55</v>
      </c>
      <c r="J556" s="208">
        <f t="shared" si="89"/>
        <v>82.97213622291022</v>
      </c>
      <c r="K556" s="7"/>
      <c r="L556" s="7"/>
      <c r="M556" s="7"/>
    </row>
    <row r="557" spans="1:13" s="113" customFormat="1" ht="34.5" customHeight="1">
      <c r="A557" s="235" t="s">
        <v>741</v>
      </c>
      <c r="B557" s="219" t="s">
        <v>699</v>
      </c>
      <c r="C557" s="209"/>
      <c r="D557" s="209"/>
      <c r="E557" s="217"/>
      <c r="F557" s="201"/>
      <c r="G557" s="208">
        <f aca="true" t="shared" si="94" ref="G557:H562">G558</f>
        <v>273</v>
      </c>
      <c r="H557" s="208">
        <f t="shared" si="94"/>
        <v>218</v>
      </c>
      <c r="I557" s="208">
        <f t="shared" si="88"/>
        <v>55</v>
      </c>
      <c r="J557" s="208">
        <f t="shared" si="89"/>
        <v>79.85347985347985</v>
      </c>
      <c r="K557" s="58"/>
      <c r="L557" s="58"/>
      <c r="M557" s="58"/>
    </row>
    <row r="558" spans="1:13" s="113" customFormat="1" ht="12.75">
      <c r="A558" s="232" t="s">
        <v>5</v>
      </c>
      <c r="B558" s="219" t="s">
        <v>699</v>
      </c>
      <c r="C558" s="209" t="s">
        <v>68</v>
      </c>
      <c r="D558" s="209" t="s">
        <v>36</v>
      </c>
      <c r="E558" s="217"/>
      <c r="F558" s="201"/>
      <c r="G558" s="208">
        <f t="shared" si="94"/>
        <v>273</v>
      </c>
      <c r="H558" s="208">
        <f t="shared" si="94"/>
        <v>218</v>
      </c>
      <c r="I558" s="208">
        <f t="shared" si="88"/>
        <v>55</v>
      </c>
      <c r="J558" s="208">
        <f t="shared" si="89"/>
        <v>79.85347985347985</v>
      </c>
      <c r="K558" s="58"/>
      <c r="L558" s="58"/>
      <c r="M558" s="58"/>
    </row>
    <row r="559" spans="1:13" s="113" customFormat="1" ht="17.25" customHeight="1">
      <c r="A559" s="215" t="s">
        <v>7</v>
      </c>
      <c r="B559" s="220" t="s">
        <v>699</v>
      </c>
      <c r="C559" s="213" t="s">
        <v>68</v>
      </c>
      <c r="D559" s="213" t="s">
        <v>78</v>
      </c>
      <c r="E559" s="217"/>
      <c r="F559" s="201"/>
      <c r="G559" s="214">
        <f t="shared" si="94"/>
        <v>273</v>
      </c>
      <c r="H559" s="214">
        <f t="shared" si="94"/>
        <v>218</v>
      </c>
      <c r="I559" s="214">
        <f t="shared" si="88"/>
        <v>55</v>
      </c>
      <c r="J559" s="214">
        <f t="shared" si="89"/>
        <v>79.85347985347985</v>
      </c>
      <c r="K559" s="58"/>
      <c r="L559" s="58"/>
      <c r="M559" s="58"/>
    </row>
    <row r="560" spans="1:13" s="5" customFormat="1" ht="22.5">
      <c r="A560" s="215" t="s">
        <v>770</v>
      </c>
      <c r="B560" s="220" t="s">
        <v>699</v>
      </c>
      <c r="C560" s="213" t="s">
        <v>68</v>
      </c>
      <c r="D560" s="213" t="s">
        <v>78</v>
      </c>
      <c r="E560" s="216" t="s">
        <v>113</v>
      </c>
      <c r="F560" s="210"/>
      <c r="G560" s="214">
        <f t="shared" si="94"/>
        <v>273</v>
      </c>
      <c r="H560" s="214">
        <f t="shared" si="94"/>
        <v>218</v>
      </c>
      <c r="I560" s="214">
        <f t="shared" si="88"/>
        <v>55</v>
      </c>
      <c r="J560" s="214">
        <f t="shared" si="89"/>
        <v>79.85347985347985</v>
      </c>
      <c r="K560" s="7"/>
      <c r="L560" s="7"/>
      <c r="M560" s="7"/>
    </row>
    <row r="561" spans="1:13" s="5" customFormat="1" ht="21.75" customHeight="1">
      <c r="A561" s="221" t="s">
        <v>106</v>
      </c>
      <c r="B561" s="220" t="s">
        <v>699</v>
      </c>
      <c r="C561" s="213" t="s">
        <v>68</v>
      </c>
      <c r="D561" s="213" t="s">
        <v>78</v>
      </c>
      <c r="E561" s="216" t="s">
        <v>107</v>
      </c>
      <c r="F561" s="210"/>
      <c r="G561" s="214">
        <f t="shared" si="94"/>
        <v>273</v>
      </c>
      <c r="H561" s="214">
        <f t="shared" si="94"/>
        <v>218</v>
      </c>
      <c r="I561" s="214">
        <f t="shared" si="88"/>
        <v>55</v>
      </c>
      <c r="J561" s="214">
        <f t="shared" si="89"/>
        <v>79.85347985347985</v>
      </c>
      <c r="K561" s="7"/>
      <c r="L561" s="7"/>
      <c r="M561" s="7"/>
    </row>
    <row r="562" spans="1:13" s="5" customFormat="1" ht="33.75">
      <c r="A562" s="221" t="s">
        <v>108</v>
      </c>
      <c r="B562" s="220" t="s">
        <v>699</v>
      </c>
      <c r="C562" s="213" t="s">
        <v>68</v>
      </c>
      <c r="D562" s="213" t="s">
        <v>78</v>
      </c>
      <c r="E562" s="216" t="s">
        <v>109</v>
      </c>
      <c r="F562" s="210"/>
      <c r="G562" s="214">
        <f t="shared" si="94"/>
        <v>273</v>
      </c>
      <c r="H562" s="214">
        <f t="shared" si="94"/>
        <v>218</v>
      </c>
      <c r="I562" s="214">
        <f t="shared" si="88"/>
        <v>55</v>
      </c>
      <c r="J562" s="214">
        <f t="shared" si="89"/>
        <v>79.85347985347985</v>
      </c>
      <c r="K562" s="7"/>
      <c r="L562" s="7"/>
      <c r="M562" s="7"/>
    </row>
    <row r="563" spans="1:13" s="5" customFormat="1" ht="12.75">
      <c r="A563" s="215" t="s">
        <v>169</v>
      </c>
      <c r="B563" s="220" t="s">
        <v>699</v>
      </c>
      <c r="C563" s="213" t="s">
        <v>68</v>
      </c>
      <c r="D563" s="213" t="s">
        <v>78</v>
      </c>
      <c r="E563" s="216" t="s">
        <v>109</v>
      </c>
      <c r="F563" s="210">
        <v>721</v>
      </c>
      <c r="G563" s="214">
        <f>294-21</f>
        <v>273</v>
      </c>
      <c r="H563" s="214">
        <v>218</v>
      </c>
      <c r="I563" s="214">
        <f t="shared" si="88"/>
        <v>55</v>
      </c>
      <c r="J563" s="214">
        <f t="shared" si="89"/>
        <v>79.85347985347985</v>
      </c>
      <c r="K563" s="7"/>
      <c r="L563" s="7"/>
      <c r="M563" s="7"/>
    </row>
    <row r="564" spans="1:13" s="113" customFormat="1" ht="31.5">
      <c r="A564" s="235" t="s">
        <v>742</v>
      </c>
      <c r="B564" s="219" t="s">
        <v>700</v>
      </c>
      <c r="C564" s="209"/>
      <c r="D564" s="209"/>
      <c r="E564" s="217"/>
      <c r="F564" s="201"/>
      <c r="G564" s="208">
        <f aca="true" t="shared" si="95" ref="G564:H569">G565</f>
        <v>20</v>
      </c>
      <c r="H564" s="208">
        <f t="shared" si="95"/>
        <v>20</v>
      </c>
      <c r="I564" s="208">
        <f t="shared" si="88"/>
        <v>0</v>
      </c>
      <c r="J564" s="208">
        <f t="shared" si="89"/>
        <v>100</v>
      </c>
      <c r="K564" s="58"/>
      <c r="L564" s="58"/>
      <c r="M564" s="58"/>
    </row>
    <row r="565" spans="1:13" s="113" customFormat="1" ht="12.75">
      <c r="A565" s="232" t="s">
        <v>5</v>
      </c>
      <c r="B565" s="219" t="s">
        <v>700</v>
      </c>
      <c r="C565" s="209" t="s">
        <v>68</v>
      </c>
      <c r="D565" s="209" t="s">
        <v>36</v>
      </c>
      <c r="E565" s="217"/>
      <c r="F565" s="201"/>
      <c r="G565" s="208">
        <f t="shared" si="95"/>
        <v>20</v>
      </c>
      <c r="H565" s="208">
        <f t="shared" si="95"/>
        <v>20</v>
      </c>
      <c r="I565" s="208">
        <f t="shared" si="88"/>
        <v>0</v>
      </c>
      <c r="J565" s="208">
        <f t="shared" si="89"/>
        <v>100</v>
      </c>
      <c r="K565" s="58"/>
      <c r="L565" s="58"/>
      <c r="M565" s="58"/>
    </row>
    <row r="566" spans="1:13" s="113" customFormat="1" ht="17.25" customHeight="1">
      <c r="A566" s="215" t="s">
        <v>7</v>
      </c>
      <c r="B566" s="220" t="s">
        <v>700</v>
      </c>
      <c r="C566" s="213" t="s">
        <v>68</v>
      </c>
      <c r="D566" s="213" t="s">
        <v>78</v>
      </c>
      <c r="E566" s="217"/>
      <c r="F566" s="201"/>
      <c r="G566" s="214">
        <f t="shared" si="95"/>
        <v>20</v>
      </c>
      <c r="H566" s="214">
        <f t="shared" si="95"/>
        <v>20</v>
      </c>
      <c r="I566" s="214">
        <f t="shared" si="88"/>
        <v>0</v>
      </c>
      <c r="J566" s="214">
        <f t="shared" si="89"/>
        <v>100</v>
      </c>
      <c r="K566" s="58"/>
      <c r="L566" s="58"/>
      <c r="M566" s="58"/>
    </row>
    <row r="567" spans="1:13" s="5" customFormat="1" ht="22.5">
      <c r="A567" s="215" t="s">
        <v>770</v>
      </c>
      <c r="B567" s="220" t="s">
        <v>700</v>
      </c>
      <c r="C567" s="213" t="s">
        <v>68</v>
      </c>
      <c r="D567" s="213" t="s">
        <v>78</v>
      </c>
      <c r="E567" s="216" t="s">
        <v>113</v>
      </c>
      <c r="F567" s="210"/>
      <c r="G567" s="214">
        <f t="shared" si="95"/>
        <v>20</v>
      </c>
      <c r="H567" s="214">
        <f t="shared" si="95"/>
        <v>20</v>
      </c>
      <c r="I567" s="214">
        <f t="shared" si="88"/>
        <v>0</v>
      </c>
      <c r="J567" s="214">
        <f t="shared" si="89"/>
        <v>100</v>
      </c>
      <c r="K567" s="7"/>
      <c r="L567" s="7"/>
      <c r="M567" s="7"/>
    </row>
    <row r="568" spans="1:13" s="5" customFormat="1" ht="37.5" customHeight="1">
      <c r="A568" s="221" t="s">
        <v>106</v>
      </c>
      <c r="B568" s="220" t="s">
        <v>700</v>
      </c>
      <c r="C568" s="213" t="s">
        <v>68</v>
      </c>
      <c r="D568" s="213" t="s">
        <v>78</v>
      </c>
      <c r="E568" s="216" t="s">
        <v>107</v>
      </c>
      <c r="F568" s="210"/>
      <c r="G568" s="214">
        <f t="shared" si="95"/>
        <v>20</v>
      </c>
      <c r="H568" s="214">
        <f t="shared" si="95"/>
        <v>20</v>
      </c>
      <c r="I568" s="214">
        <f t="shared" si="88"/>
        <v>0</v>
      </c>
      <c r="J568" s="214">
        <f t="shared" si="89"/>
        <v>100</v>
      </c>
      <c r="K568" s="7"/>
      <c r="L568" s="7"/>
      <c r="M568" s="7"/>
    </row>
    <row r="569" spans="1:13" s="5" customFormat="1" ht="33.75">
      <c r="A569" s="221" t="s">
        <v>108</v>
      </c>
      <c r="B569" s="220" t="s">
        <v>700</v>
      </c>
      <c r="C569" s="213" t="s">
        <v>68</v>
      </c>
      <c r="D569" s="213" t="s">
        <v>78</v>
      </c>
      <c r="E569" s="216" t="s">
        <v>109</v>
      </c>
      <c r="F569" s="210"/>
      <c r="G569" s="214">
        <f t="shared" si="95"/>
        <v>20</v>
      </c>
      <c r="H569" s="214">
        <f t="shared" si="95"/>
        <v>20</v>
      </c>
      <c r="I569" s="214">
        <f t="shared" si="88"/>
        <v>0</v>
      </c>
      <c r="J569" s="214">
        <f t="shared" si="89"/>
        <v>100</v>
      </c>
      <c r="K569" s="7"/>
      <c r="L569" s="7"/>
      <c r="M569" s="7"/>
    </row>
    <row r="570" spans="1:13" s="5" customFormat="1" ht="12.75">
      <c r="A570" s="215" t="s">
        <v>169</v>
      </c>
      <c r="B570" s="220" t="s">
        <v>700</v>
      </c>
      <c r="C570" s="213" t="s">
        <v>68</v>
      </c>
      <c r="D570" s="213" t="s">
        <v>78</v>
      </c>
      <c r="E570" s="216" t="s">
        <v>109</v>
      </c>
      <c r="F570" s="210">
        <v>721</v>
      </c>
      <c r="G570" s="214">
        <v>20</v>
      </c>
      <c r="H570" s="214">
        <v>20</v>
      </c>
      <c r="I570" s="214">
        <f t="shared" si="88"/>
        <v>0</v>
      </c>
      <c r="J570" s="214">
        <f t="shared" si="89"/>
        <v>100</v>
      </c>
      <c r="K570" s="7"/>
      <c r="L570" s="7"/>
      <c r="M570" s="7"/>
    </row>
    <row r="571" spans="1:13" s="5" customFormat="1" ht="27" customHeight="1">
      <c r="A571" s="221" t="s">
        <v>763</v>
      </c>
      <c r="B571" s="202" t="s">
        <v>764</v>
      </c>
      <c r="C571" s="213"/>
      <c r="D571" s="213"/>
      <c r="E571" s="216"/>
      <c r="F571" s="210"/>
      <c r="G571" s="208">
        <f aca="true" t="shared" si="96" ref="G571:H575">G572</f>
        <v>30</v>
      </c>
      <c r="H571" s="208">
        <f t="shared" si="96"/>
        <v>30</v>
      </c>
      <c r="I571" s="208">
        <f t="shared" si="88"/>
        <v>0</v>
      </c>
      <c r="J571" s="208">
        <f t="shared" si="89"/>
        <v>100</v>
      </c>
      <c r="K571" s="7"/>
      <c r="L571" s="7"/>
      <c r="M571" s="7"/>
    </row>
    <row r="572" spans="1:13" s="5" customFormat="1" ht="12.75">
      <c r="A572" s="232" t="s">
        <v>5</v>
      </c>
      <c r="B572" s="202" t="s">
        <v>764</v>
      </c>
      <c r="C572" s="209" t="s">
        <v>68</v>
      </c>
      <c r="D572" s="209" t="s">
        <v>36</v>
      </c>
      <c r="E572" s="217"/>
      <c r="F572" s="201"/>
      <c r="G572" s="208">
        <f t="shared" si="96"/>
        <v>30</v>
      </c>
      <c r="H572" s="208">
        <f t="shared" si="96"/>
        <v>30</v>
      </c>
      <c r="I572" s="208">
        <f t="shared" si="88"/>
        <v>0</v>
      </c>
      <c r="J572" s="208">
        <f t="shared" si="89"/>
        <v>100</v>
      </c>
      <c r="K572" s="7"/>
      <c r="L572" s="7"/>
      <c r="M572" s="7"/>
    </row>
    <row r="573" spans="1:13" s="5" customFormat="1" ht="16.5" customHeight="1">
      <c r="A573" s="215" t="s">
        <v>7</v>
      </c>
      <c r="B573" s="212" t="s">
        <v>764</v>
      </c>
      <c r="C573" s="213" t="s">
        <v>68</v>
      </c>
      <c r="D573" s="213" t="s">
        <v>78</v>
      </c>
      <c r="E573" s="216"/>
      <c r="F573" s="210"/>
      <c r="G573" s="214">
        <f t="shared" si="96"/>
        <v>30</v>
      </c>
      <c r="H573" s="214">
        <f t="shared" si="96"/>
        <v>30</v>
      </c>
      <c r="I573" s="214">
        <f t="shared" si="88"/>
        <v>0</v>
      </c>
      <c r="J573" s="214">
        <f t="shared" si="89"/>
        <v>100</v>
      </c>
      <c r="K573" s="7"/>
      <c r="L573" s="7"/>
      <c r="M573" s="7"/>
    </row>
    <row r="574" spans="1:13" s="5" customFormat="1" ht="15.75" customHeight="1">
      <c r="A574" s="215" t="s">
        <v>137</v>
      </c>
      <c r="B574" s="212" t="s">
        <v>764</v>
      </c>
      <c r="C574" s="213" t="s">
        <v>68</v>
      </c>
      <c r="D574" s="213" t="s">
        <v>78</v>
      </c>
      <c r="E574" s="216" t="s">
        <v>138</v>
      </c>
      <c r="F574" s="210"/>
      <c r="G574" s="214">
        <f t="shared" si="96"/>
        <v>30</v>
      </c>
      <c r="H574" s="214">
        <f t="shared" si="96"/>
        <v>30</v>
      </c>
      <c r="I574" s="214">
        <f t="shared" si="88"/>
        <v>0</v>
      </c>
      <c r="J574" s="214">
        <f t="shared" si="89"/>
        <v>100</v>
      </c>
      <c r="K574" s="7"/>
      <c r="L574" s="7"/>
      <c r="M574" s="7"/>
    </row>
    <row r="575" spans="1:13" s="5" customFormat="1" ht="48.75" customHeight="1">
      <c r="A575" s="215" t="s">
        <v>182</v>
      </c>
      <c r="B575" s="212" t="s">
        <v>764</v>
      </c>
      <c r="C575" s="213" t="s">
        <v>68</v>
      </c>
      <c r="D575" s="213" t="s">
        <v>78</v>
      </c>
      <c r="E575" s="216" t="s">
        <v>139</v>
      </c>
      <c r="F575" s="210"/>
      <c r="G575" s="214">
        <f t="shared" si="96"/>
        <v>30</v>
      </c>
      <c r="H575" s="214">
        <f t="shared" si="96"/>
        <v>30</v>
      </c>
      <c r="I575" s="214">
        <f t="shared" si="88"/>
        <v>0</v>
      </c>
      <c r="J575" s="214">
        <f t="shared" si="89"/>
        <v>100</v>
      </c>
      <c r="K575" s="7"/>
      <c r="L575" s="7"/>
      <c r="M575" s="7"/>
    </row>
    <row r="576" spans="1:13" s="5" customFormat="1" ht="12.75">
      <c r="A576" s="215" t="s">
        <v>169</v>
      </c>
      <c r="B576" s="212" t="s">
        <v>764</v>
      </c>
      <c r="C576" s="213" t="s">
        <v>68</v>
      </c>
      <c r="D576" s="213" t="s">
        <v>78</v>
      </c>
      <c r="E576" s="216" t="s">
        <v>139</v>
      </c>
      <c r="F576" s="210">
        <v>721</v>
      </c>
      <c r="G576" s="214">
        <v>30</v>
      </c>
      <c r="H576" s="214">
        <v>30</v>
      </c>
      <c r="I576" s="214">
        <f t="shared" si="88"/>
        <v>0</v>
      </c>
      <c r="J576" s="214">
        <f t="shared" si="89"/>
        <v>100</v>
      </c>
      <c r="K576" s="7"/>
      <c r="L576" s="7"/>
      <c r="M576" s="7"/>
    </row>
    <row r="577" spans="1:13" s="5" customFormat="1" ht="47.25" customHeight="1">
      <c r="A577" s="232" t="s">
        <v>356</v>
      </c>
      <c r="B577" s="202" t="s">
        <v>193</v>
      </c>
      <c r="C577" s="213"/>
      <c r="D577" s="213"/>
      <c r="E577" s="217"/>
      <c r="F577" s="201"/>
      <c r="G577" s="208">
        <f aca="true" t="shared" si="97" ref="G577:H584">G578</f>
        <v>850</v>
      </c>
      <c r="H577" s="208">
        <f t="shared" si="97"/>
        <v>578.9</v>
      </c>
      <c r="I577" s="208">
        <f t="shared" si="88"/>
        <v>271.1</v>
      </c>
      <c r="J577" s="208">
        <f t="shared" si="89"/>
        <v>68.10588235294117</v>
      </c>
      <c r="K577" s="7"/>
      <c r="L577" s="7"/>
      <c r="M577" s="7"/>
    </row>
    <row r="578" spans="1:13" s="5" customFormat="1" ht="34.5" customHeight="1">
      <c r="A578" s="232" t="s">
        <v>304</v>
      </c>
      <c r="B578" s="202" t="s">
        <v>432</v>
      </c>
      <c r="C578" s="213"/>
      <c r="D578" s="213"/>
      <c r="E578" s="217"/>
      <c r="F578" s="201"/>
      <c r="G578" s="208">
        <f t="shared" si="97"/>
        <v>850</v>
      </c>
      <c r="H578" s="208">
        <f t="shared" si="97"/>
        <v>578.9</v>
      </c>
      <c r="I578" s="208">
        <f t="shared" si="88"/>
        <v>271.1</v>
      </c>
      <c r="J578" s="208">
        <f t="shared" si="89"/>
        <v>68.10588235294117</v>
      </c>
      <c r="K578" s="7"/>
      <c r="L578" s="7"/>
      <c r="M578" s="7"/>
    </row>
    <row r="579" spans="1:13" s="5" customFormat="1" ht="33" customHeight="1">
      <c r="A579" s="232" t="s">
        <v>192</v>
      </c>
      <c r="B579" s="202" t="s">
        <v>433</v>
      </c>
      <c r="C579" s="213"/>
      <c r="D579" s="213"/>
      <c r="E579" s="217"/>
      <c r="F579" s="201"/>
      <c r="G579" s="208">
        <f t="shared" si="97"/>
        <v>850</v>
      </c>
      <c r="H579" s="208">
        <f t="shared" si="97"/>
        <v>578.9</v>
      </c>
      <c r="I579" s="208">
        <f t="shared" si="88"/>
        <v>271.1</v>
      </c>
      <c r="J579" s="208">
        <f t="shared" si="89"/>
        <v>68.10588235294117</v>
      </c>
      <c r="K579" s="7"/>
      <c r="L579" s="7"/>
      <c r="M579" s="7"/>
    </row>
    <row r="580" spans="1:13" s="5" customFormat="1" ht="22.5" customHeight="1">
      <c r="A580" s="232" t="s">
        <v>4</v>
      </c>
      <c r="B580" s="202" t="s">
        <v>433</v>
      </c>
      <c r="C580" s="209" t="s">
        <v>70</v>
      </c>
      <c r="D580" s="209" t="s">
        <v>36</v>
      </c>
      <c r="E580" s="217"/>
      <c r="F580" s="201"/>
      <c r="G580" s="208">
        <f t="shared" si="97"/>
        <v>850</v>
      </c>
      <c r="H580" s="208">
        <f t="shared" si="97"/>
        <v>578.9</v>
      </c>
      <c r="I580" s="208">
        <f t="shared" si="88"/>
        <v>271.1</v>
      </c>
      <c r="J580" s="208">
        <f t="shared" si="89"/>
        <v>68.10588235294117</v>
      </c>
      <c r="K580" s="7"/>
      <c r="L580" s="7"/>
      <c r="M580" s="7"/>
    </row>
    <row r="581" spans="1:13" s="5" customFormat="1" ht="33.75">
      <c r="A581" s="215" t="s">
        <v>81</v>
      </c>
      <c r="B581" s="212" t="s">
        <v>433</v>
      </c>
      <c r="C581" s="213" t="s">
        <v>70</v>
      </c>
      <c r="D581" s="213" t="s">
        <v>75</v>
      </c>
      <c r="E581" s="216"/>
      <c r="F581" s="210"/>
      <c r="G581" s="214">
        <f t="shared" si="97"/>
        <v>850</v>
      </c>
      <c r="H581" s="214">
        <f t="shared" si="97"/>
        <v>578.9</v>
      </c>
      <c r="I581" s="214">
        <f t="shared" si="88"/>
        <v>271.1</v>
      </c>
      <c r="J581" s="214">
        <f t="shared" si="89"/>
        <v>68.10588235294117</v>
      </c>
      <c r="K581" s="7"/>
      <c r="L581" s="7"/>
      <c r="M581" s="7"/>
    </row>
    <row r="582" spans="1:13" s="5" customFormat="1" ht="22.5">
      <c r="A582" s="215" t="s">
        <v>770</v>
      </c>
      <c r="B582" s="212" t="s">
        <v>433</v>
      </c>
      <c r="C582" s="213" t="s">
        <v>70</v>
      </c>
      <c r="D582" s="213" t="s">
        <v>75</v>
      </c>
      <c r="E582" s="236" t="s">
        <v>113</v>
      </c>
      <c r="F582" s="210"/>
      <c r="G582" s="214">
        <f t="shared" si="97"/>
        <v>850</v>
      </c>
      <c r="H582" s="214">
        <f t="shared" si="97"/>
        <v>578.9</v>
      </c>
      <c r="I582" s="214">
        <f t="shared" si="88"/>
        <v>271.1</v>
      </c>
      <c r="J582" s="214">
        <f t="shared" si="89"/>
        <v>68.10588235294117</v>
      </c>
      <c r="K582" s="7"/>
      <c r="L582" s="7"/>
      <c r="M582" s="7"/>
    </row>
    <row r="583" spans="1:13" s="5" customFormat="1" ht="13.5" customHeight="1">
      <c r="A583" s="215" t="s">
        <v>106</v>
      </c>
      <c r="B583" s="212" t="s">
        <v>433</v>
      </c>
      <c r="C583" s="213" t="s">
        <v>70</v>
      </c>
      <c r="D583" s="213" t="s">
        <v>75</v>
      </c>
      <c r="E583" s="236" t="s">
        <v>107</v>
      </c>
      <c r="F583" s="210"/>
      <c r="G583" s="214">
        <f t="shared" si="97"/>
        <v>850</v>
      </c>
      <c r="H583" s="214">
        <f t="shared" si="97"/>
        <v>578.9</v>
      </c>
      <c r="I583" s="214">
        <f t="shared" si="88"/>
        <v>271.1</v>
      </c>
      <c r="J583" s="214">
        <f t="shared" si="89"/>
        <v>68.10588235294117</v>
      </c>
      <c r="K583" s="7"/>
      <c r="L583" s="7"/>
      <c r="M583" s="7"/>
    </row>
    <row r="584" spans="1:13" s="5" customFormat="1" ht="33.75">
      <c r="A584" s="215" t="s">
        <v>108</v>
      </c>
      <c r="B584" s="212" t="s">
        <v>433</v>
      </c>
      <c r="C584" s="213" t="s">
        <v>70</v>
      </c>
      <c r="D584" s="213" t="s">
        <v>75</v>
      </c>
      <c r="E584" s="236" t="s">
        <v>109</v>
      </c>
      <c r="F584" s="210"/>
      <c r="G584" s="214">
        <f t="shared" si="97"/>
        <v>850</v>
      </c>
      <c r="H584" s="214">
        <f t="shared" si="97"/>
        <v>578.9</v>
      </c>
      <c r="I584" s="214">
        <f t="shared" si="88"/>
        <v>271.1</v>
      </c>
      <c r="J584" s="214">
        <f t="shared" si="89"/>
        <v>68.10588235294117</v>
      </c>
      <c r="K584" s="7"/>
      <c r="L584" s="7"/>
      <c r="M584" s="7"/>
    </row>
    <row r="585" spans="1:13" s="5" customFormat="1" ht="12.75">
      <c r="A585" s="211" t="s">
        <v>169</v>
      </c>
      <c r="B585" s="212" t="s">
        <v>433</v>
      </c>
      <c r="C585" s="213" t="s">
        <v>70</v>
      </c>
      <c r="D585" s="213" t="s">
        <v>75</v>
      </c>
      <c r="E585" s="216" t="s">
        <v>109</v>
      </c>
      <c r="F585" s="210">
        <v>721</v>
      </c>
      <c r="G585" s="214">
        <f>250+300+300</f>
        <v>850</v>
      </c>
      <c r="H585" s="214">
        <v>578.9</v>
      </c>
      <c r="I585" s="214">
        <f aca="true" t="shared" si="98" ref="I585:I648">G585-H585</f>
        <v>271.1</v>
      </c>
      <c r="J585" s="214">
        <f t="shared" si="89"/>
        <v>68.10588235294117</v>
      </c>
      <c r="K585" s="7"/>
      <c r="L585" s="7"/>
      <c r="M585" s="7"/>
    </row>
    <row r="586" spans="1:13" s="5" customFormat="1" ht="31.5">
      <c r="A586" s="232" t="s">
        <v>369</v>
      </c>
      <c r="B586" s="202" t="s">
        <v>370</v>
      </c>
      <c r="C586" s="209"/>
      <c r="D586" s="209"/>
      <c r="E586" s="217"/>
      <c r="F586" s="201"/>
      <c r="G586" s="208">
        <f>G587</f>
        <v>20000</v>
      </c>
      <c r="H586" s="208">
        <f>H587</f>
        <v>19943.8</v>
      </c>
      <c r="I586" s="208">
        <f t="shared" si="98"/>
        <v>56.20000000000073</v>
      </c>
      <c r="J586" s="208">
        <f t="shared" si="89"/>
        <v>99.719</v>
      </c>
      <c r="K586" s="7"/>
      <c r="L586" s="7"/>
      <c r="M586" s="7"/>
    </row>
    <row r="587" spans="1:13" s="5" customFormat="1" ht="46.5" customHeight="1">
      <c r="A587" s="232" t="s">
        <v>577</v>
      </c>
      <c r="B587" s="202" t="s">
        <v>442</v>
      </c>
      <c r="C587" s="209"/>
      <c r="D587" s="209"/>
      <c r="E587" s="217"/>
      <c r="F587" s="201"/>
      <c r="G587" s="208">
        <f>G588+G595</f>
        <v>20000</v>
      </c>
      <c r="H587" s="208">
        <f>H588+H595</f>
        <v>19943.8</v>
      </c>
      <c r="I587" s="208">
        <f t="shared" si="98"/>
        <v>56.20000000000073</v>
      </c>
      <c r="J587" s="208">
        <f t="shared" si="89"/>
        <v>99.719</v>
      </c>
      <c r="K587" s="7"/>
      <c r="L587" s="7"/>
      <c r="M587" s="7"/>
    </row>
    <row r="588" spans="1:13" s="5" customFormat="1" ht="45" customHeight="1">
      <c r="A588" s="207" t="s">
        <v>271</v>
      </c>
      <c r="B588" s="202" t="s">
        <v>443</v>
      </c>
      <c r="C588" s="209"/>
      <c r="D588" s="209"/>
      <c r="E588" s="217"/>
      <c r="F588" s="201"/>
      <c r="G588" s="208">
        <f aca="true" t="shared" si="99" ref="G588:H590">G589</f>
        <v>75.3</v>
      </c>
      <c r="H588" s="208">
        <f t="shared" si="99"/>
        <v>75.3</v>
      </c>
      <c r="I588" s="208">
        <f t="shared" si="98"/>
        <v>0</v>
      </c>
      <c r="J588" s="208">
        <f t="shared" si="89"/>
        <v>100</v>
      </c>
      <c r="K588" s="7"/>
      <c r="L588" s="7"/>
      <c r="M588" s="7"/>
    </row>
    <row r="589" spans="1:13" s="5" customFormat="1" ht="12" customHeight="1">
      <c r="A589" s="207" t="s">
        <v>879</v>
      </c>
      <c r="B589" s="202" t="s">
        <v>443</v>
      </c>
      <c r="C589" s="209" t="s">
        <v>66</v>
      </c>
      <c r="D589" s="209" t="s">
        <v>36</v>
      </c>
      <c r="E589" s="217"/>
      <c r="F589" s="201"/>
      <c r="G589" s="208">
        <f t="shared" si="99"/>
        <v>75.3</v>
      </c>
      <c r="H589" s="208">
        <f t="shared" si="99"/>
        <v>75.3</v>
      </c>
      <c r="I589" s="208">
        <f t="shared" si="98"/>
        <v>0</v>
      </c>
      <c r="J589" s="208">
        <f t="shared" si="89"/>
        <v>100</v>
      </c>
      <c r="K589" s="7"/>
      <c r="L589" s="7"/>
      <c r="M589" s="7"/>
    </row>
    <row r="590" spans="1:13" s="5" customFormat="1" ht="16.5" customHeight="1">
      <c r="A590" s="211" t="s">
        <v>63</v>
      </c>
      <c r="B590" s="212" t="s">
        <v>443</v>
      </c>
      <c r="C590" s="213" t="s">
        <v>66</v>
      </c>
      <c r="D590" s="213" t="s">
        <v>89</v>
      </c>
      <c r="E590" s="216"/>
      <c r="F590" s="210"/>
      <c r="G590" s="214">
        <f t="shared" si="99"/>
        <v>75.3</v>
      </c>
      <c r="H590" s="214">
        <f t="shared" si="99"/>
        <v>75.3</v>
      </c>
      <c r="I590" s="214">
        <f t="shared" si="98"/>
        <v>0</v>
      </c>
      <c r="J590" s="214">
        <f aca="true" t="shared" si="100" ref="J590:J653">H590/G590*100</f>
        <v>100</v>
      </c>
      <c r="K590" s="7"/>
      <c r="L590" s="7"/>
      <c r="M590" s="7"/>
    </row>
    <row r="591" spans="1:13" s="5" customFormat="1" ht="45" customHeight="1">
      <c r="A591" s="215" t="s">
        <v>110</v>
      </c>
      <c r="B591" s="212" t="s">
        <v>443</v>
      </c>
      <c r="C591" s="213" t="s">
        <v>66</v>
      </c>
      <c r="D591" s="213" t="s">
        <v>89</v>
      </c>
      <c r="E591" s="216" t="s">
        <v>111</v>
      </c>
      <c r="F591" s="210"/>
      <c r="G591" s="214">
        <f>G593</f>
        <v>75.3</v>
      </c>
      <c r="H591" s="214">
        <f>H593</f>
        <v>75.3</v>
      </c>
      <c r="I591" s="214">
        <f t="shared" si="98"/>
        <v>0</v>
      </c>
      <c r="J591" s="214">
        <f t="shared" si="100"/>
        <v>100</v>
      </c>
      <c r="K591" s="7"/>
      <c r="L591" s="7"/>
      <c r="M591" s="7"/>
    </row>
    <row r="592" spans="1:13" s="5" customFormat="1" ht="24.75" customHeight="1">
      <c r="A592" s="215" t="s">
        <v>406</v>
      </c>
      <c r="B592" s="212" t="s">
        <v>443</v>
      </c>
      <c r="C592" s="213" t="s">
        <v>66</v>
      </c>
      <c r="D592" s="213" t="s">
        <v>89</v>
      </c>
      <c r="E592" s="216" t="s">
        <v>408</v>
      </c>
      <c r="F592" s="210"/>
      <c r="G592" s="214">
        <f>G593</f>
        <v>75.3</v>
      </c>
      <c r="H592" s="214">
        <f>H593</f>
        <v>75.3</v>
      </c>
      <c r="I592" s="214">
        <f t="shared" si="98"/>
        <v>0</v>
      </c>
      <c r="J592" s="214">
        <f t="shared" si="100"/>
        <v>100</v>
      </c>
      <c r="K592" s="7"/>
      <c r="L592" s="7"/>
      <c r="M592" s="7"/>
    </row>
    <row r="593" spans="1:13" s="5" customFormat="1" ht="23.25" customHeight="1">
      <c r="A593" s="215" t="s">
        <v>574</v>
      </c>
      <c r="B593" s="212" t="s">
        <v>443</v>
      </c>
      <c r="C593" s="213" t="s">
        <v>66</v>
      </c>
      <c r="D593" s="213" t="s">
        <v>89</v>
      </c>
      <c r="E593" s="216" t="s">
        <v>407</v>
      </c>
      <c r="F593" s="210"/>
      <c r="G593" s="214">
        <f>G594</f>
        <v>75.3</v>
      </c>
      <c r="H593" s="214">
        <f>H594</f>
        <v>75.3</v>
      </c>
      <c r="I593" s="214">
        <f t="shared" si="98"/>
        <v>0</v>
      </c>
      <c r="J593" s="214">
        <f t="shared" si="100"/>
        <v>100</v>
      </c>
      <c r="K593" s="7"/>
      <c r="L593" s="7"/>
      <c r="M593" s="7"/>
    </row>
    <row r="594" spans="1:13" s="5" customFormat="1" ht="36" customHeight="1">
      <c r="A594" s="215" t="s">
        <v>185</v>
      </c>
      <c r="B594" s="212" t="s">
        <v>443</v>
      </c>
      <c r="C594" s="213" t="s">
        <v>66</v>
      </c>
      <c r="D594" s="213" t="s">
        <v>89</v>
      </c>
      <c r="E594" s="216" t="s">
        <v>407</v>
      </c>
      <c r="F594" s="210">
        <v>724</v>
      </c>
      <c r="G594" s="214">
        <f>200-124.7</f>
        <v>75.3</v>
      </c>
      <c r="H594" s="214">
        <v>75.3</v>
      </c>
      <c r="I594" s="214">
        <f t="shared" si="98"/>
        <v>0</v>
      </c>
      <c r="J594" s="214">
        <f t="shared" si="100"/>
        <v>100</v>
      </c>
      <c r="K594" s="7"/>
      <c r="L594" s="7"/>
      <c r="M594" s="7"/>
    </row>
    <row r="595" spans="1:13" s="5" customFormat="1" ht="14.25" customHeight="1">
      <c r="A595" s="232" t="s">
        <v>288</v>
      </c>
      <c r="B595" s="202" t="s">
        <v>444</v>
      </c>
      <c r="C595" s="209"/>
      <c r="D595" s="209"/>
      <c r="E595" s="217"/>
      <c r="F595" s="201"/>
      <c r="G595" s="208">
        <f>G596</f>
        <v>19924.7</v>
      </c>
      <c r="H595" s="208">
        <f>H596</f>
        <v>19868.5</v>
      </c>
      <c r="I595" s="208">
        <f t="shared" si="98"/>
        <v>56.20000000000073</v>
      </c>
      <c r="J595" s="208">
        <f t="shared" si="100"/>
        <v>99.7179380367082</v>
      </c>
      <c r="K595" s="7"/>
      <c r="L595" s="7"/>
      <c r="M595" s="7"/>
    </row>
    <row r="596" spans="1:13" s="5" customFormat="1" ht="14.25" customHeight="1">
      <c r="A596" s="207" t="s">
        <v>879</v>
      </c>
      <c r="B596" s="212" t="s">
        <v>444</v>
      </c>
      <c r="C596" s="213" t="s">
        <v>66</v>
      </c>
      <c r="D596" s="213" t="s">
        <v>36</v>
      </c>
      <c r="E596" s="216"/>
      <c r="F596" s="210"/>
      <c r="G596" s="214">
        <f>G597</f>
        <v>19924.7</v>
      </c>
      <c r="H596" s="214">
        <f>H597</f>
        <v>19868.5</v>
      </c>
      <c r="I596" s="214">
        <f t="shared" si="98"/>
        <v>56.20000000000073</v>
      </c>
      <c r="J596" s="214">
        <f t="shared" si="100"/>
        <v>99.7179380367082</v>
      </c>
      <c r="K596" s="7"/>
      <c r="L596" s="7"/>
      <c r="M596" s="7"/>
    </row>
    <row r="597" spans="1:13" s="5" customFormat="1" ht="14.25" customHeight="1">
      <c r="A597" s="211" t="s">
        <v>63</v>
      </c>
      <c r="B597" s="212" t="s">
        <v>444</v>
      </c>
      <c r="C597" s="213" t="s">
        <v>66</v>
      </c>
      <c r="D597" s="213" t="s">
        <v>89</v>
      </c>
      <c r="E597" s="216"/>
      <c r="F597" s="210"/>
      <c r="G597" s="214">
        <f>G598+G606+G610</f>
        <v>19924.7</v>
      </c>
      <c r="H597" s="214">
        <f>H598+H606+H610</f>
        <v>19868.5</v>
      </c>
      <c r="I597" s="214">
        <f t="shared" si="98"/>
        <v>56.20000000000073</v>
      </c>
      <c r="J597" s="214">
        <f t="shared" si="100"/>
        <v>99.7179380367082</v>
      </c>
      <c r="K597" s="7"/>
      <c r="L597" s="7"/>
      <c r="M597" s="7"/>
    </row>
    <row r="598" spans="1:13" s="5" customFormat="1" ht="47.25" customHeight="1">
      <c r="A598" s="215" t="s">
        <v>110</v>
      </c>
      <c r="B598" s="212" t="s">
        <v>444</v>
      </c>
      <c r="C598" s="213" t="s">
        <v>66</v>
      </c>
      <c r="D598" s="213" t="s">
        <v>89</v>
      </c>
      <c r="E598" s="216" t="s">
        <v>111</v>
      </c>
      <c r="F598" s="214"/>
      <c r="G598" s="214">
        <f>G599</f>
        <v>15173.5</v>
      </c>
      <c r="H598" s="214">
        <f>H599</f>
        <v>15139.7</v>
      </c>
      <c r="I598" s="214">
        <f t="shared" si="98"/>
        <v>33.79999999999927</v>
      </c>
      <c r="J598" s="214">
        <f t="shared" si="100"/>
        <v>99.77724322008766</v>
      </c>
      <c r="K598" s="7"/>
      <c r="L598" s="7"/>
      <c r="M598" s="7"/>
    </row>
    <row r="599" spans="1:13" s="5" customFormat="1" ht="14.25" customHeight="1">
      <c r="A599" s="215" t="s">
        <v>406</v>
      </c>
      <c r="B599" s="212" t="s">
        <v>444</v>
      </c>
      <c r="C599" s="213" t="s">
        <v>66</v>
      </c>
      <c r="D599" s="213" t="s">
        <v>89</v>
      </c>
      <c r="E599" s="216" t="s">
        <v>408</v>
      </c>
      <c r="F599" s="214"/>
      <c r="G599" s="214">
        <f>G600+G602+G604</f>
        <v>15173.5</v>
      </c>
      <c r="H599" s="214">
        <f>H600+H602+H604</f>
        <v>15139.7</v>
      </c>
      <c r="I599" s="214">
        <f t="shared" si="98"/>
        <v>33.79999999999927</v>
      </c>
      <c r="J599" s="214">
        <f t="shared" si="100"/>
        <v>99.77724322008766</v>
      </c>
      <c r="K599" s="7"/>
      <c r="L599" s="7"/>
      <c r="M599" s="7"/>
    </row>
    <row r="600" spans="1:13" s="5" customFormat="1" ht="17.25" customHeight="1">
      <c r="A600" s="215" t="s">
        <v>881</v>
      </c>
      <c r="B600" s="212" t="s">
        <v>444</v>
      </c>
      <c r="C600" s="213" t="s">
        <v>66</v>
      </c>
      <c r="D600" s="213" t="s">
        <v>89</v>
      </c>
      <c r="E600" s="216" t="s">
        <v>409</v>
      </c>
      <c r="F600" s="214"/>
      <c r="G600" s="214">
        <f>G601</f>
        <v>11650</v>
      </c>
      <c r="H600" s="214">
        <f>H601</f>
        <v>11637.6</v>
      </c>
      <c r="I600" s="214">
        <f t="shared" si="98"/>
        <v>12.399999999999636</v>
      </c>
      <c r="J600" s="214">
        <f t="shared" si="100"/>
        <v>99.89356223175966</v>
      </c>
      <c r="K600" s="7"/>
      <c r="L600" s="7"/>
      <c r="M600" s="7"/>
    </row>
    <row r="601" spans="1:13" s="5" customFormat="1" ht="35.25" customHeight="1">
      <c r="A601" s="215" t="s">
        <v>185</v>
      </c>
      <c r="B601" s="212" t="s">
        <v>444</v>
      </c>
      <c r="C601" s="213" t="s">
        <v>66</v>
      </c>
      <c r="D601" s="213" t="s">
        <v>89</v>
      </c>
      <c r="E601" s="216" t="s">
        <v>409</v>
      </c>
      <c r="F601" s="210">
        <v>724</v>
      </c>
      <c r="G601" s="214">
        <f>14077-2427</f>
        <v>11650</v>
      </c>
      <c r="H601" s="214">
        <v>11637.6</v>
      </c>
      <c r="I601" s="214">
        <f t="shared" si="98"/>
        <v>12.399999999999636</v>
      </c>
      <c r="J601" s="214">
        <f t="shared" si="100"/>
        <v>99.89356223175966</v>
      </c>
      <c r="K601" s="7"/>
      <c r="L601" s="7"/>
      <c r="M601" s="7"/>
    </row>
    <row r="602" spans="1:13" s="5" customFormat="1" ht="27" customHeight="1">
      <c r="A602" s="215" t="s">
        <v>574</v>
      </c>
      <c r="B602" s="212" t="s">
        <v>444</v>
      </c>
      <c r="C602" s="213" t="s">
        <v>66</v>
      </c>
      <c r="D602" s="213" t="s">
        <v>89</v>
      </c>
      <c r="E602" s="216" t="s">
        <v>407</v>
      </c>
      <c r="F602" s="214"/>
      <c r="G602" s="214">
        <f>G603</f>
        <v>83.5</v>
      </c>
      <c r="H602" s="214">
        <f>H603</f>
        <v>83.5</v>
      </c>
      <c r="I602" s="214">
        <f t="shared" si="98"/>
        <v>0</v>
      </c>
      <c r="J602" s="214">
        <f t="shared" si="100"/>
        <v>100</v>
      </c>
      <c r="K602" s="7"/>
      <c r="L602" s="7"/>
      <c r="M602" s="7"/>
    </row>
    <row r="603" spans="1:13" s="5" customFormat="1" ht="34.5" customHeight="1">
      <c r="A603" s="215" t="s">
        <v>185</v>
      </c>
      <c r="B603" s="212" t="s">
        <v>444</v>
      </c>
      <c r="C603" s="213" t="s">
        <v>66</v>
      </c>
      <c r="D603" s="213" t="s">
        <v>89</v>
      </c>
      <c r="E603" s="216" t="s">
        <v>407</v>
      </c>
      <c r="F603" s="210">
        <v>724</v>
      </c>
      <c r="G603" s="214">
        <f>108+30-54.5</f>
        <v>83.5</v>
      </c>
      <c r="H603" s="214">
        <v>83.5</v>
      </c>
      <c r="I603" s="214">
        <f t="shared" si="98"/>
        <v>0</v>
      </c>
      <c r="J603" s="214">
        <f t="shared" si="100"/>
        <v>100</v>
      </c>
      <c r="K603" s="7"/>
      <c r="L603" s="7"/>
      <c r="M603" s="7"/>
    </row>
    <row r="604" spans="1:13" s="5" customFormat="1" ht="48" customHeight="1">
      <c r="A604" s="215" t="s">
        <v>882</v>
      </c>
      <c r="B604" s="212" t="s">
        <v>444</v>
      </c>
      <c r="C604" s="213" t="s">
        <v>66</v>
      </c>
      <c r="D604" s="213" t="s">
        <v>89</v>
      </c>
      <c r="E604" s="216" t="s">
        <v>410</v>
      </c>
      <c r="F604" s="214"/>
      <c r="G604" s="214">
        <f>G605</f>
        <v>3440.0000000000005</v>
      </c>
      <c r="H604" s="214">
        <f>H605</f>
        <v>3418.6</v>
      </c>
      <c r="I604" s="214">
        <f t="shared" si="98"/>
        <v>21.400000000000546</v>
      </c>
      <c r="J604" s="214">
        <f t="shared" si="100"/>
        <v>99.37790697674417</v>
      </c>
      <c r="K604" s="7"/>
      <c r="L604" s="7"/>
      <c r="M604" s="7"/>
    </row>
    <row r="605" spans="1:13" s="5" customFormat="1" ht="37.5" customHeight="1">
      <c r="A605" s="215" t="s">
        <v>185</v>
      </c>
      <c r="B605" s="212" t="s">
        <v>444</v>
      </c>
      <c r="C605" s="213" t="s">
        <v>66</v>
      </c>
      <c r="D605" s="213" t="s">
        <v>89</v>
      </c>
      <c r="E605" s="216" t="s">
        <v>410</v>
      </c>
      <c r="F605" s="210">
        <v>724</v>
      </c>
      <c r="G605" s="214">
        <f>4251.1-811.1</f>
        <v>3440.0000000000005</v>
      </c>
      <c r="H605" s="214">
        <v>3418.6</v>
      </c>
      <c r="I605" s="214">
        <f t="shared" si="98"/>
        <v>21.400000000000546</v>
      </c>
      <c r="J605" s="214">
        <f t="shared" si="100"/>
        <v>99.37790697674417</v>
      </c>
      <c r="K605" s="7"/>
      <c r="L605" s="7"/>
      <c r="M605" s="7"/>
    </row>
    <row r="606" spans="1:13" s="5" customFormat="1" ht="29.25" customHeight="1">
      <c r="A606" s="215" t="s">
        <v>770</v>
      </c>
      <c r="B606" s="212" t="s">
        <v>444</v>
      </c>
      <c r="C606" s="213" t="s">
        <v>66</v>
      </c>
      <c r="D606" s="213" t="s">
        <v>89</v>
      </c>
      <c r="E606" s="216" t="s">
        <v>113</v>
      </c>
      <c r="F606" s="214"/>
      <c r="G606" s="214">
        <f aca="true" t="shared" si="101" ref="G606:H608">G607</f>
        <v>4699.7</v>
      </c>
      <c r="H606" s="214">
        <f t="shared" si="101"/>
        <v>4677.3</v>
      </c>
      <c r="I606" s="214">
        <f t="shared" si="98"/>
        <v>22.399999999999636</v>
      </c>
      <c r="J606" s="214">
        <f t="shared" si="100"/>
        <v>99.52337383237229</v>
      </c>
      <c r="K606" s="7"/>
      <c r="L606" s="7"/>
      <c r="M606" s="7"/>
    </row>
    <row r="607" spans="1:13" s="5" customFormat="1" ht="36" customHeight="1">
      <c r="A607" s="215" t="s">
        <v>106</v>
      </c>
      <c r="B607" s="212" t="s">
        <v>444</v>
      </c>
      <c r="C607" s="213" t="s">
        <v>66</v>
      </c>
      <c r="D607" s="213" t="s">
        <v>89</v>
      </c>
      <c r="E607" s="216" t="s">
        <v>107</v>
      </c>
      <c r="F607" s="214"/>
      <c r="G607" s="214">
        <f t="shared" si="101"/>
        <v>4699.7</v>
      </c>
      <c r="H607" s="214">
        <f t="shared" si="101"/>
        <v>4677.3</v>
      </c>
      <c r="I607" s="214">
        <f t="shared" si="98"/>
        <v>22.399999999999636</v>
      </c>
      <c r="J607" s="214">
        <f t="shared" si="100"/>
        <v>99.52337383237229</v>
      </c>
      <c r="K607" s="7"/>
      <c r="L607" s="7"/>
      <c r="M607" s="7"/>
    </row>
    <row r="608" spans="1:13" s="5" customFormat="1" ht="35.25" customHeight="1">
      <c r="A608" s="215" t="s">
        <v>108</v>
      </c>
      <c r="B608" s="212" t="s">
        <v>444</v>
      </c>
      <c r="C608" s="213" t="s">
        <v>66</v>
      </c>
      <c r="D608" s="213" t="s">
        <v>89</v>
      </c>
      <c r="E608" s="216" t="s">
        <v>109</v>
      </c>
      <c r="F608" s="214"/>
      <c r="G608" s="214">
        <f t="shared" si="101"/>
        <v>4699.7</v>
      </c>
      <c r="H608" s="214">
        <f t="shared" si="101"/>
        <v>4677.3</v>
      </c>
      <c r="I608" s="214">
        <f t="shared" si="98"/>
        <v>22.399999999999636</v>
      </c>
      <c r="J608" s="214">
        <f t="shared" si="100"/>
        <v>99.52337383237229</v>
      </c>
      <c r="K608" s="7"/>
      <c r="L608" s="7"/>
      <c r="M608" s="7"/>
    </row>
    <row r="609" spans="1:13" s="5" customFormat="1" ht="36.75" customHeight="1">
      <c r="A609" s="215" t="s">
        <v>185</v>
      </c>
      <c r="B609" s="212" t="s">
        <v>444</v>
      </c>
      <c r="C609" s="213" t="s">
        <v>66</v>
      </c>
      <c r="D609" s="213" t="s">
        <v>89</v>
      </c>
      <c r="E609" s="216" t="s">
        <v>109</v>
      </c>
      <c r="F609" s="210">
        <v>724</v>
      </c>
      <c r="G609" s="214">
        <f>4516.9+690-63-444.2</f>
        <v>4699.7</v>
      </c>
      <c r="H609" s="214">
        <v>4677.3</v>
      </c>
      <c r="I609" s="214">
        <f t="shared" si="98"/>
        <v>22.399999999999636</v>
      </c>
      <c r="J609" s="214">
        <f t="shared" si="100"/>
        <v>99.52337383237229</v>
      </c>
      <c r="K609" s="7"/>
      <c r="L609" s="7"/>
      <c r="M609" s="7"/>
    </row>
    <row r="610" spans="1:13" s="5" customFormat="1" ht="14.25" customHeight="1">
      <c r="A610" s="215" t="s">
        <v>137</v>
      </c>
      <c r="B610" s="212" t="s">
        <v>444</v>
      </c>
      <c r="C610" s="213" t="s">
        <v>66</v>
      </c>
      <c r="D610" s="213" t="s">
        <v>89</v>
      </c>
      <c r="E610" s="216" t="s">
        <v>138</v>
      </c>
      <c r="F610" s="214"/>
      <c r="G610" s="214">
        <f>G611</f>
        <v>51.5</v>
      </c>
      <c r="H610" s="214">
        <f>H611</f>
        <v>51.5</v>
      </c>
      <c r="I610" s="214">
        <f t="shared" si="98"/>
        <v>0</v>
      </c>
      <c r="J610" s="214">
        <f t="shared" si="100"/>
        <v>100</v>
      </c>
      <c r="K610" s="7"/>
      <c r="L610" s="7"/>
      <c r="M610" s="7"/>
    </row>
    <row r="611" spans="1:13" s="5" customFormat="1" ht="16.5" customHeight="1">
      <c r="A611" s="215" t="s">
        <v>140</v>
      </c>
      <c r="B611" s="212" t="s">
        <v>444</v>
      </c>
      <c r="C611" s="213" t="s">
        <v>66</v>
      </c>
      <c r="D611" s="213" t="s">
        <v>89</v>
      </c>
      <c r="E611" s="216" t="s">
        <v>141</v>
      </c>
      <c r="F611" s="214"/>
      <c r="G611" s="214">
        <f>G612+G614+G616</f>
        <v>51.5</v>
      </c>
      <c r="H611" s="214">
        <f>H612+H614+H616</f>
        <v>51.5</v>
      </c>
      <c r="I611" s="214">
        <f t="shared" si="98"/>
        <v>0</v>
      </c>
      <c r="J611" s="214">
        <f t="shared" si="100"/>
        <v>100</v>
      </c>
      <c r="K611" s="7"/>
      <c r="L611" s="7"/>
      <c r="M611" s="7"/>
    </row>
    <row r="612" spans="1:13" s="5" customFormat="1" ht="26.25" customHeight="1">
      <c r="A612" s="215" t="s">
        <v>142</v>
      </c>
      <c r="B612" s="212" t="s">
        <v>444</v>
      </c>
      <c r="C612" s="213" t="s">
        <v>66</v>
      </c>
      <c r="D612" s="213" t="s">
        <v>89</v>
      </c>
      <c r="E612" s="216" t="s">
        <v>143</v>
      </c>
      <c r="F612" s="214"/>
      <c r="G612" s="214">
        <f>G613</f>
        <v>33.7</v>
      </c>
      <c r="H612" s="214">
        <f>H613</f>
        <v>33.7</v>
      </c>
      <c r="I612" s="214">
        <f t="shared" si="98"/>
        <v>0</v>
      </c>
      <c r="J612" s="214">
        <f t="shared" si="100"/>
        <v>100</v>
      </c>
      <c r="K612" s="7"/>
      <c r="L612" s="7"/>
      <c r="M612" s="7"/>
    </row>
    <row r="613" spans="1:13" s="5" customFormat="1" ht="35.25" customHeight="1">
      <c r="A613" s="215" t="s">
        <v>185</v>
      </c>
      <c r="B613" s="212" t="s">
        <v>444</v>
      </c>
      <c r="C613" s="213" t="s">
        <v>66</v>
      </c>
      <c r="D613" s="213" t="s">
        <v>89</v>
      </c>
      <c r="E613" s="216" t="s">
        <v>143</v>
      </c>
      <c r="F613" s="237">
        <v>724</v>
      </c>
      <c r="G613" s="214">
        <f>10+25-1.3</f>
        <v>33.7</v>
      </c>
      <c r="H613" s="214">
        <v>33.7</v>
      </c>
      <c r="I613" s="214">
        <f t="shared" si="98"/>
        <v>0</v>
      </c>
      <c r="J613" s="214">
        <f t="shared" si="100"/>
        <v>100</v>
      </c>
      <c r="K613" s="7"/>
      <c r="L613" s="7"/>
      <c r="M613" s="7"/>
    </row>
    <row r="614" spans="1:13" s="5" customFormat="1" ht="15.75" customHeight="1">
      <c r="A614" s="215" t="s">
        <v>179</v>
      </c>
      <c r="B614" s="212" t="s">
        <v>444</v>
      </c>
      <c r="C614" s="213" t="s">
        <v>66</v>
      </c>
      <c r="D614" s="213" t="s">
        <v>89</v>
      </c>
      <c r="E614" s="216" t="s">
        <v>144</v>
      </c>
      <c r="F614" s="214"/>
      <c r="G614" s="214">
        <f>G615</f>
        <v>16.799999999999997</v>
      </c>
      <c r="H614" s="214">
        <f>H615</f>
        <v>16.8</v>
      </c>
      <c r="I614" s="214">
        <f t="shared" si="98"/>
        <v>0</v>
      </c>
      <c r="J614" s="214">
        <f t="shared" si="100"/>
        <v>100.00000000000003</v>
      </c>
      <c r="K614" s="7"/>
      <c r="L614" s="7"/>
      <c r="M614" s="7"/>
    </row>
    <row r="615" spans="1:13" s="5" customFormat="1" ht="36" customHeight="1">
      <c r="A615" s="215" t="s">
        <v>185</v>
      </c>
      <c r="B615" s="212" t="s">
        <v>444</v>
      </c>
      <c r="C615" s="213" t="s">
        <v>66</v>
      </c>
      <c r="D615" s="213" t="s">
        <v>89</v>
      </c>
      <c r="E615" s="216" t="s">
        <v>144</v>
      </c>
      <c r="F615" s="210">
        <v>724</v>
      </c>
      <c r="G615" s="214">
        <f>14+38-35.2</f>
        <v>16.799999999999997</v>
      </c>
      <c r="H615" s="214">
        <v>16.8</v>
      </c>
      <c r="I615" s="214">
        <f t="shared" si="98"/>
        <v>0</v>
      </c>
      <c r="J615" s="214">
        <f t="shared" si="100"/>
        <v>100.00000000000003</v>
      </c>
      <c r="K615" s="7"/>
      <c r="L615" s="7"/>
      <c r="M615" s="7"/>
    </row>
    <row r="616" spans="1:13" s="5" customFormat="1" ht="12.75" customHeight="1">
      <c r="A616" s="215" t="s">
        <v>180</v>
      </c>
      <c r="B616" s="212" t="s">
        <v>444</v>
      </c>
      <c r="C616" s="213" t="s">
        <v>66</v>
      </c>
      <c r="D616" s="213" t="s">
        <v>89</v>
      </c>
      <c r="E616" s="216" t="s">
        <v>181</v>
      </c>
      <c r="F616" s="214"/>
      <c r="G616" s="214">
        <f>G617</f>
        <v>1</v>
      </c>
      <c r="H616" s="214">
        <f>H617</f>
        <v>1</v>
      </c>
      <c r="I616" s="214">
        <f t="shared" si="98"/>
        <v>0</v>
      </c>
      <c r="J616" s="214">
        <f t="shared" si="100"/>
        <v>100</v>
      </c>
      <c r="K616" s="7"/>
      <c r="L616" s="7"/>
      <c r="M616" s="7"/>
    </row>
    <row r="617" spans="1:13" s="5" customFormat="1" ht="35.25" customHeight="1">
      <c r="A617" s="215" t="s">
        <v>185</v>
      </c>
      <c r="B617" s="212" t="s">
        <v>444</v>
      </c>
      <c r="C617" s="213" t="s">
        <v>66</v>
      </c>
      <c r="D617" s="213" t="s">
        <v>89</v>
      </c>
      <c r="E617" s="216" t="s">
        <v>181</v>
      </c>
      <c r="F617" s="210">
        <v>724</v>
      </c>
      <c r="G617" s="214">
        <f>3-2</f>
        <v>1</v>
      </c>
      <c r="H617" s="214">
        <v>1</v>
      </c>
      <c r="I617" s="214">
        <f t="shared" si="98"/>
        <v>0</v>
      </c>
      <c r="J617" s="214">
        <f t="shared" si="100"/>
        <v>100</v>
      </c>
      <c r="K617" s="7"/>
      <c r="L617" s="7"/>
      <c r="M617" s="7"/>
    </row>
    <row r="618" spans="1:13" s="5" customFormat="1" ht="21">
      <c r="A618" s="232" t="s">
        <v>371</v>
      </c>
      <c r="B618" s="202" t="s">
        <v>645</v>
      </c>
      <c r="C618" s="213"/>
      <c r="D618" s="213"/>
      <c r="E618" s="216"/>
      <c r="F618" s="210"/>
      <c r="G618" s="208">
        <f>G619</f>
        <v>8133.2</v>
      </c>
      <c r="H618" s="208">
        <f>H619</f>
        <v>8072.8</v>
      </c>
      <c r="I618" s="208">
        <f t="shared" si="98"/>
        <v>60.399999999999636</v>
      </c>
      <c r="J618" s="208">
        <f t="shared" si="100"/>
        <v>99.25736487483402</v>
      </c>
      <c r="K618" s="27"/>
      <c r="L618" s="7"/>
      <c r="M618" s="7"/>
    </row>
    <row r="619" spans="1:13" s="5" customFormat="1" ht="21">
      <c r="A619" s="232" t="s">
        <v>372</v>
      </c>
      <c r="B619" s="202" t="s">
        <v>646</v>
      </c>
      <c r="C619" s="209"/>
      <c r="D619" s="209"/>
      <c r="E619" s="217"/>
      <c r="F619" s="201"/>
      <c r="G619" s="208">
        <f>G620+G627+G641+G648+G655+G634</f>
        <v>8133.2</v>
      </c>
      <c r="H619" s="208">
        <f>H620+H627+H641+H648+H655+H634</f>
        <v>8072.8</v>
      </c>
      <c r="I619" s="208">
        <f t="shared" si="98"/>
        <v>60.399999999999636</v>
      </c>
      <c r="J619" s="208">
        <f t="shared" si="100"/>
        <v>99.25736487483402</v>
      </c>
      <c r="K619" s="7"/>
      <c r="L619" s="7"/>
      <c r="M619" s="7"/>
    </row>
    <row r="620" spans="1:13" s="5" customFormat="1" ht="12.75">
      <c r="A620" s="232" t="s">
        <v>651</v>
      </c>
      <c r="B620" s="202" t="s">
        <v>647</v>
      </c>
      <c r="C620" s="216"/>
      <c r="D620" s="209"/>
      <c r="E620" s="217"/>
      <c r="F620" s="201"/>
      <c r="G620" s="208">
        <f>G623</f>
        <v>2522</v>
      </c>
      <c r="H620" s="208">
        <f>H623</f>
        <v>2461.7</v>
      </c>
      <c r="I620" s="208">
        <f t="shared" si="98"/>
        <v>60.30000000000018</v>
      </c>
      <c r="J620" s="208">
        <f t="shared" si="100"/>
        <v>97.60904044409199</v>
      </c>
      <c r="K620" s="7"/>
      <c r="L620" s="7"/>
      <c r="M620" s="7"/>
    </row>
    <row r="621" spans="1:13" s="5" customFormat="1" ht="12.75">
      <c r="A621" s="232" t="s">
        <v>377</v>
      </c>
      <c r="B621" s="202" t="s">
        <v>647</v>
      </c>
      <c r="C621" s="217" t="s">
        <v>72</v>
      </c>
      <c r="D621" s="209" t="s">
        <v>36</v>
      </c>
      <c r="E621" s="217"/>
      <c r="F621" s="201"/>
      <c r="G621" s="208">
        <f aca="true" t="shared" si="102" ref="G621:H625">G622</f>
        <v>2522</v>
      </c>
      <c r="H621" s="208">
        <f t="shared" si="102"/>
        <v>2461.7</v>
      </c>
      <c r="I621" s="208">
        <f t="shared" si="98"/>
        <v>60.30000000000018</v>
      </c>
      <c r="J621" s="208">
        <f t="shared" si="100"/>
        <v>97.60904044409199</v>
      </c>
      <c r="K621" s="7"/>
      <c r="L621" s="7"/>
      <c r="M621" s="7"/>
    </row>
    <row r="622" spans="1:13" s="5" customFormat="1" ht="12.75">
      <c r="A622" s="215" t="s">
        <v>246</v>
      </c>
      <c r="B622" s="212" t="s">
        <v>647</v>
      </c>
      <c r="C622" s="216" t="s">
        <v>72</v>
      </c>
      <c r="D622" s="213" t="s">
        <v>70</v>
      </c>
      <c r="E622" s="217"/>
      <c r="F622" s="201"/>
      <c r="G622" s="214">
        <f t="shared" si="102"/>
        <v>2522</v>
      </c>
      <c r="H622" s="214">
        <f t="shared" si="102"/>
        <v>2461.7</v>
      </c>
      <c r="I622" s="214">
        <f t="shared" si="98"/>
        <v>60.30000000000018</v>
      </c>
      <c r="J622" s="214">
        <f t="shared" si="100"/>
        <v>97.60904044409199</v>
      </c>
      <c r="K622" s="7"/>
      <c r="L622" s="7"/>
      <c r="M622" s="7"/>
    </row>
    <row r="623" spans="1:13" s="5" customFormat="1" ht="22.5">
      <c r="A623" s="215" t="s">
        <v>770</v>
      </c>
      <c r="B623" s="212" t="s">
        <v>647</v>
      </c>
      <c r="C623" s="216" t="s">
        <v>72</v>
      </c>
      <c r="D623" s="213" t="s">
        <v>70</v>
      </c>
      <c r="E623" s="216" t="s">
        <v>113</v>
      </c>
      <c r="F623" s="201"/>
      <c r="G623" s="214">
        <f t="shared" si="102"/>
        <v>2522</v>
      </c>
      <c r="H623" s="214">
        <f t="shared" si="102"/>
        <v>2461.7</v>
      </c>
      <c r="I623" s="214">
        <f t="shared" si="98"/>
        <v>60.30000000000018</v>
      </c>
      <c r="J623" s="214">
        <f t="shared" si="100"/>
        <v>97.60904044409199</v>
      </c>
      <c r="K623" s="7"/>
      <c r="L623" s="7"/>
      <c r="M623" s="7"/>
    </row>
    <row r="624" spans="1:13" s="5" customFormat="1" ht="33" customHeight="1">
      <c r="A624" s="215" t="s">
        <v>106</v>
      </c>
      <c r="B624" s="212" t="s">
        <v>647</v>
      </c>
      <c r="C624" s="216" t="s">
        <v>72</v>
      </c>
      <c r="D624" s="213" t="s">
        <v>70</v>
      </c>
      <c r="E624" s="216" t="s">
        <v>107</v>
      </c>
      <c r="F624" s="210"/>
      <c r="G624" s="214">
        <f t="shared" si="102"/>
        <v>2522</v>
      </c>
      <c r="H624" s="214">
        <f t="shared" si="102"/>
        <v>2461.7</v>
      </c>
      <c r="I624" s="214">
        <f t="shared" si="98"/>
        <v>60.30000000000018</v>
      </c>
      <c r="J624" s="214">
        <f t="shared" si="100"/>
        <v>97.60904044409199</v>
      </c>
      <c r="K624" s="7"/>
      <c r="L624" s="7"/>
      <c r="M624" s="7"/>
    </row>
    <row r="625" spans="1:13" s="5" customFormat="1" ht="33.75">
      <c r="A625" s="215" t="s">
        <v>108</v>
      </c>
      <c r="B625" s="212" t="s">
        <v>647</v>
      </c>
      <c r="C625" s="216" t="s">
        <v>72</v>
      </c>
      <c r="D625" s="213" t="s">
        <v>70</v>
      </c>
      <c r="E625" s="216" t="s">
        <v>109</v>
      </c>
      <c r="F625" s="210"/>
      <c r="G625" s="214">
        <f t="shared" si="102"/>
        <v>2522</v>
      </c>
      <c r="H625" s="214">
        <f t="shared" si="102"/>
        <v>2461.7</v>
      </c>
      <c r="I625" s="214">
        <f t="shared" si="98"/>
        <v>60.30000000000018</v>
      </c>
      <c r="J625" s="214">
        <f t="shared" si="100"/>
        <v>97.60904044409199</v>
      </c>
      <c r="K625" s="7"/>
      <c r="L625" s="7"/>
      <c r="M625" s="7"/>
    </row>
    <row r="626" spans="1:13" s="5" customFormat="1" ht="33.75">
      <c r="A626" s="215" t="s">
        <v>587</v>
      </c>
      <c r="B626" s="212" t="s">
        <v>647</v>
      </c>
      <c r="C626" s="216" t="s">
        <v>72</v>
      </c>
      <c r="D626" s="213" t="s">
        <v>70</v>
      </c>
      <c r="E626" s="216" t="s">
        <v>109</v>
      </c>
      <c r="F626" s="210">
        <v>727</v>
      </c>
      <c r="G626" s="214">
        <f>1640+628+254</f>
        <v>2522</v>
      </c>
      <c r="H626" s="214">
        <v>2461.7</v>
      </c>
      <c r="I626" s="214">
        <f t="shared" si="98"/>
        <v>60.30000000000018</v>
      </c>
      <c r="J626" s="214">
        <f t="shared" si="100"/>
        <v>97.60904044409199</v>
      </c>
      <c r="K626" s="7"/>
      <c r="L626" s="7"/>
      <c r="M626" s="7"/>
    </row>
    <row r="627" spans="1:13" s="5" customFormat="1" ht="34.5" customHeight="1">
      <c r="A627" s="222" t="s">
        <v>759</v>
      </c>
      <c r="B627" s="202" t="s">
        <v>650</v>
      </c>
      <c r="C627" s="217"/>
      <c r="D627" s="209"/>
      <c r="E627" s="217"/>
      <c r="F627" s="201"/>
      <c r="G627" s="208">
        <f>G630</f>
        <v>1000</v>
      </c>
      <c r="H627" s="208">
        <f>H630</f>
        <v>1000</v>
      </c>
      <c r="I627" s="208">
        <f t="shared" si="98"/>
        <v>0</v>
      </c>
      <c r="J627" s="208">
        <f t="shared" si="100"/>
        <v>100</v>
      </c>
      <c r="K627" s="7"/>
      <c r="L627" s="7"/>
      <c r="M627" s="7"/>
    </row>
    <row r="628" spans="1:13" s="5" customFormat="1" ht="12.75">
      <c r="A628" s="232" t="s">
        <v>377</v>
      </c>
      <c r="B628" s="202" t="s">
        <v>650</v>
      </c>
      <c r="C628" s="217" t="s">
        <v>72</v>
      </c>
      <c r="D628" s="209" t="s">
        <v>36</v>
      </c>
      <c r="E628" s="217"/>
      <c r="F628" s="201"/>
      <c r="G628" s="208">
        <f aca="true" t="shared" si="103" ref="G628:H632">G629</f>
        <v>1000</v>
      </c>
      <c r="H628" s="208">
        <f t="shared" si="103"/>
        <v>1000</v>
      </c>
      <c r="I628" s="208">
        <f t="shared" si="98"/>
        <v>0</v>
      </c>
      <c r="J628" s="208">
        <f t="shared" si="100"/>
        <v>100</v>
      </c>
      <c r="K628" s="7"/>
      <c r="L628" s="7"/>
      <c r="M628" s="7"/>
    </row>
    <row r="629" spans="1:13" s="5" customFormat="1" ht="12.75">
      <c r="A629" s="215" t="s">
        <v>246</v>
      </c>
      <c r="B629" s="212" t="s">
        <v>650</v>
      </c>
      <c r="C629" s="216" t="s">
        <v>72</v>
      </c>
      <c r="D629" s="213" t="s">
        <v>70</v>
      </c>
      <c r="E629" s="217"/>
      <c r="F629" s="201"/>
      <c r="G629" s="214">
        <f t="shared" si="103"/>
        <v>1000</v>
      </c>
      <c r="H629" s="214">
        <f t="shared" si="103"/>
        <v>1000</v>
      </c>
      <c r="I629" s="214">
        <f t="shared" si="98"/>
        <v>0</v>
      </c>
      <c r="J629" s="214">
        <f t="shared" si="100"/>
        <v>100</v>
      </c>
      <c r="K629" s="7"/>
      <c r="L629" s="7"/>
      <c r="M629" s="7"/>
    </row>
    <row r="630" spans="1:13" s="5" customFormat="1" ht="25.5" customHeight="1">
      <c r="A630" s="215" t="s">
        <v>770</v>
      </c>
      <c r="B630" s="212" t="s">
        <v>650</v>
      </c>
      <c r="C630" s="216" t="s">
        <v>72</v>
      </c>
      <c r="D630" s="213" t="s">
        <v>70</v>
      </c>
      <c r="E630" s="216" t="s">
        <v>113</v>
      </c>
      <c r="F630" s="210"/>
      <c r="G630" s="214">
        <f t="shared" si="103"/>
        <v>1000</v>
      </c>
      <c r="H630" s="214">
        <f t="shared" si="103"/>
        <v>1000</v>
      </c>
      <c r="I630" s="214">
        <f t="shared" si="98"/>
        <v>0</v>
      </c>
      <c r="J630" s="214">
        <f t="shared" si="100"/>
        <v>100</v>
      </c>
      <c r="K630" s="7"/>
      <c r="L630" s="7"/>
      <c r="M630" s="7"/>
    </row>
    <row r="631" spans="1:13" s="113" customFormat="1" ht="33.75" customHeight="1">
      <c r="A631" s="215" t="s">
        <v>106</v>
      </c>
      <c r="B631" s="212" t="s">
        <v>650</v>
      </c>
      <c r="C631" s="216" t="s">
        <v>72</v>
      </c>
      <c r="D631" s="213" t="s">
        <v>70</v>
      </c>
      <c r="E631" s="216" t="s">
        <v>107</v>
      </c>
      <c r="F631" s="201"/>
      <c r="G631" s="214">
        <f t="shared" si="103"/>
        <v>1000</v>
      </c>
      <c r="H631" s="214">
        <f t="shared" si="103"/>
        <v>1000</v>
      </c>
      <c r="I631" s="214">
        <f t="shared" si="98"/>
        <v>0</v>
      </c>
      <c r="J631" s="214">
        <f t="shared" si="100"/>
        <v>100</v>
      </c>
      <c r="K631" s="58"/>
      <c r="L631" s="58"/>
      <c r="M631" s="58"/>
    </row>
    <row r="632" spans="1:13" s="5" customFormat="1" ht="33.75">
      <c r="A632" s="215" t="s">
        <v>108</v>
      </c>
      <c r="B632" s="212" t="s">
        <v>650</v>
      </c>
      <c r="C632" s="216" t="s">
        <v>72</v>
      </c>
      <c r="D632" s="213" t="s">
        <v>70</v>
      </c>
      <c r="E632" s="216" t="s">
        <v>109</v>
      </c>
      <c r="F632" s="201"/>
      <c r="G632" s="214">
        <f t="shared" si="103"/>
        <v>1000</v>
      </c>
      <c r="H632" s="214">
        <f t="shared" si="103"/>
        <v>1000</v>
      </c>
      <c r="I632" s="214">
        <f t="shared" si="98"/>
        <v>0</v>
      </c>
      <c r="J632" s="214">
        <f t="shared" si="100"/>
        <v>100</v>
      </c>
      <c r="K632" s="7"/>
      <c r="L632" s="7"/>
      <c r="M632" s="7"/>
    </row>
    <row r="633" spans="1:13" s="5" customFormat="1" ht="33.75">
      <c r="A633" s="215" t="s">
        <v>587</v>
      </c>
      <c r="B633" s="212" t="s">
        <v>650</v>
      </c>
      <c r="C633" s="216" t="s">
        <v>72</v>
      </c>
      <c r="D633" s="213" t="s">
        <v>70</v>
      </c>
      <c r="E633" s="216" t="s">
        <v>109</v>
      </c>
      <c r="F633" s="210">
        <v>727</v>
      </c>
      <c r="G633" s="214">
        <f>996.6+3.4</f>
        <v>1000</v>
      </c>
      <c r="H633" s="214">
        <v>1000</v>
      </c>
      <c r="I633" s="214">
        <f t="shared" si="98"/>
        <v>0</v>
      </c>
      <c r="J633" s="214">
        <f t="shared" si="100"/>
        <v>100</v>
      </c>
      <c r="K633" s="7"/>
      <c r="L633" s="7"/>
      <c r="M633" s="7"/>
    </row>
    <row r="634" spans="1:13" s="113" customFormat="1" ht="33" customHeight="1">
      <c r="A634" s="222" t="s">
        <v>757</v>
      </c>
      <c r="B634" s="219" t="s">
        <v>758</v>
      </c>
      <c r="C634" s="217"/>
      <c r="D634" s="209"/>
      <c r="E634" s="217"/>
      <c r="F634" s="201"/>
      <c r="G634" s="208">
        <f aca="true" t="shared" si="104" ref="G634:H639">G635</f>
        <v>71.6</v>
      </c>
      <c r="H634" s="208">
        <f t="shared" si="104"/>
        <v>71.6</v>
      </c>
      <c r="I634" s="208">
        <f t="shared" si="98"/>
        <v>0</v>
      </c>
      <c r="J634" s="208">
        <f t="shared" si="100"/>
        <v>100</v>
      </c>
      <c r="K634" s="58"/>
      <c r="L634" s="58"/>
      <c r="M634" s="58"/>
    </row>
    <row r="635" spans="1:13" s="113" customFormat="1" ht="12.75">
      <c r="A635" s="232" t="s">
        <v>377</v>
      </c>
      <c r="B635" s="219" t="s">
        <v>758</v>
      </c>
      <c r="C635" s="217" t="s">
        <v>72</v>
      </c>
      <c r="D635" s="209" t="s">
        <v>36</v>
      </c>
      <c r="E635" s="217"/>
      <c r="F635" s="201"/>
      <c r="G635" s="208">
        <f t="shared" si="104"/>
        <v>71.6</v>
      </c>
      <c r="H635" s="208">
        <f t="shared" si="104"/>
        <v>71.6</v>
      </c>
      <c r="I635" s="208">
        <f t="shared" si="98"/>
        <v>0</v>
      </c>
      <c r="J635" s="208">
        <f t="shared" si="100"/>
        <v>100</v>
      </c>
      <c r="K635" s="58"/>
      <c r="L635" s="58"/>
      <c r="M635" s="58"/>
    </row>
    <row r="636" spans="1:13" s="5" customFormat="1" ht="12.75">
      <c r="A636" s="215" t="s">
        <v>246</v>
      </c>
      <c r="B636" s="220" t="s">
        <v>758</v>
      </c>
      <c r="C636" s="216" t="s">
        <v>72</v>
      </c>
      <c r="D636" s="213" t="s">
        <v>70</v>
      </c>
      <c r="E636" s="216"/>
      <c r="F636" s="210"/>
      <c r="G636" s="214">
        <f t="shared" si="104"/>
        <v>71.6</v>
      </c>
      <c r="H636" s="214">
        <f t="shared" si="104"/>
        <v>71.6</v>
      </c>
      <c r="I636" s="214">
        <f t="shared" si="98"/>
        <v>0</v>
      </c>
      <c r="J636" s="214">
        <f t="shared" si="100"/>
        <v>100</v>
      </c>
      <c r="K636" s="7"/>
      <c r="L636" s="7"/>
      <c r="M636" s="7"/>
    </row>
    <row r="637" spans="1:13" s="5" customFormat="1" ht="22.5">
      <c r="A637" s="215" t="s">
        <v>770</v>
      </c>
      <c r="B637" s="220" t="s">
        <v>758</v>
      </c>
      <c r="C637" s="216" t="s">
        <v>72</v>
      </c>
      <c r="D637" s="213" t="s">
        <v>70</v>
      </c>
      <c r="E637" s="216" t="s">
        <v>113</v>
      </c>
      <c r="F637" s="210"/>
      <c r="G637" s="214">
        <f t="shared" si="104"/>
        <v>71.6</v>
      </c>
      <c r="H637" s="214">
        <f t="shared" si="104"/>
        <v>71.6</v>
      </c>
      <c r="I637" s="214">
        <f t="shared" si="98"/>
        <v>0</v>
      </c>
      <c r="J637" s="214">
        <f t="shared" si="100"/>
        <v>100</v>
      </c>
      <c r="K637" s="7"/>
      <c r="L637" s="7"/>
      <c r="M637" s="7"/>
    </row>
    <row r="638" spans="1:13" s="5" customFormat="1" ht="33" customHeight="1">
      <c r="A638" s="221" t="s">
        <v>106</v>
      </c>
      <c r="B638" s="220" t="s">
        <v>758</v>
      </c>
      <c r="C638" s="216" t="s">
        <v>72</v>
      </c>
      <c r="D638" s="213" t="s">
        <v>70</v>
      </c>
      <c r="E638" s="216" t="s">
        <v>107</v>
      </c>
      <c r="F638" s="210"/>
      <c r="G638" s="214">
        <f t="shared" si="104"/>
        <v>71.6</v>
      </c>
      <c r="H638" s="214">
        <f t="shared" si="104"/>
        <v>71.6</v>
      </c>
      <c r="I638" s="214">
        <f t="shared" si="98"/>
        <v>0</v>
      </c>
      <c r="J638" s="214">
        <f t="shared" si="100"/>
        <v>100</v>
      </c>
      <c r="K638" s="7"/>
      <c r="L638" s="7"/>
      <c r="M638" s="7"/>
    </row>
    <row r="639" spans="1:13" s="5" customFormat="1" ht="33.75">
      <c r="A639" s="221" t="s">
        <v>108</v>
      </c>
      <c r="B639" s="220" t="s">
        <v>758</v>
      </c>
      <c r="C639" s="216" t="s">
        <v>72</v>
      </c>
      <c r="D639" s="213" t="s">
        <v>70</v>
      </c>
      <c r="E639" s="216" t="s">
        <v>109</v>
      </c>
      <c r="F639" s="210"/>
      <c r="G639" s="214">
        <f t="shared" si="104"/>
        <v>71.6</v>
      </c>
      <c r="H639" s="214">
        <f t="shared" si="104"/>
        <v>71.6</v>
      </c>
      <c r="I639" s="214">
        <f t="shared" si="98"/>
        <v>0</v>
      </c>
      <c r="J639" s="214">
        <f t="shared" si="100"/>
        <v>100</v>
      </c>
      <c r="K639" s="7"/>
      <c r="L639" s="7"/>
      <c r="M639" s="7"/>
    </row>
    <row r="640" spans="1:13" s="5" customFormat="1" ht="36" customHeight="1">
      <c r="A640" s="215" t="s">
        <v>587</v>
      </c>
      <c r="B640" s="220" t="s">
        <v>758</v>
      </c>
      <c r="C640" s="216" t="s">
        <v>72</v>
      </c>
      <c r="D640" s="213" t="s">
        <v>70</v>
      </c>
      <c r="E640" s="216" t="s">
        <v>109</v>
      </c>
      <c r="F640" s="210">
        <v>727</v>
      </c>
      <c r="G640" s="214">
        <v>71.6</v>
      </c>
      <c r="H640" s="214">
        <v>71.6</v>
      </c>
      <c r="I640" s="214">
        <f t="shared" si="98"/>
        <v>0</v>
      </c>
      <c r="J640" s="214">
        <f t="shared" si="100"/>
        <v>100</v>
      </c>
      <c r="K640" s="7"/>
      <c r="L640" s="7"/>
      <c r="M640" s="7"/>
    </row>
    <row r="641" spans="1:13" s="5" customFormat="1" ht="12.75">
      <c r="A641" s="232" t="s">
        <v>649</v>
      </c>
      <c r="B641" s="202" t="s">
        <v>648</v>
      </c>
      <c r="C641" s="217"/>
      <c r="D641" s="209"/>
      <c r="E641" s="217"/>
      <c r="F641" s="201"/>
      <c r="G641" s="208">
        <f>G644</f>
        <v>61.30000000000001</v>
      </c>
      <c r="H641" s="208">
        <f>H644</f>
        <v>61.2</v>
      </c>
      <c r="I641" s="208">
        <f t="shared" si="98"/>
        <v>0.10000000000000853</v>
      </c>
      <c r="J641" s="208">
        <f t="shared" si="100"/>
        <v>99.83686786296899</v>
      </c>
      <c r="K641" s="7"/>
      <c r="L641" s="7"/>
      <c r="M641" s="7"/>
    </row>
    <row r="642" spans="1:13" s="5" customFormat="1" ht="12.75">
      <c r="A642" s="232" t="s">
        <v>377</v>
      </c>
      <c r="B642" s="202" t="s">
        <v>648</v>
      </c>
      <c r="C642" s="217" t="s">
        <v>72</v>
      </c>
      <c r="D642" s="209" t="s">
        <v>36</v>
      </c>
      <c r="E642" s="217"/>
      <c r="F642" s="201"/>
      <c r="G642" s="208">
        <f aca="true" t="shared" si="105" ref="G642:H646">G643</f>
        <v>61.30000000000001</v>
      </c>
      <c r="H642" s="208">
        <f t="shared" si="105"/>
        <v>61.2</v>
      </c>
      <c r="I642" s="208">
        <f t="shared" si="98"/>
        <v>0.10000000000000853</v>
      </c>
      <c r="J642" s="208">
        <f t="shared" si="100"/>
        <v>99.83686786296899</v>
      </c>
      <c r="K642" s="7"/>
      <c r="L642" s="7"/>
      <c r="M642" s="7"/>
    </row>
    <row r="643" spans="1:13" s="5" customFormat="1" ht="12.75">
      <c r="A643" s="215" t="s">
        <v>246</v>
      </c>
      <c r="B643" s="212" t="s">
        <v>648</v>
      </c>
      <c r="C643" s="216" t="s">
        <v>72</v>
      </c>
      <c r="D643" s="213" t="s">
        <v>70</v>
      </c>
      <c r="E643" s="217"/>
      <c r="F643" s="201"/>
      <c r="G643" s="214">
        <f t="shared" si="105"/>
        <v>61.30000000000001</v>
      </c>
      <c r="H643" s="214">
        <f t="shared" si="105"/>
        <v>61.2</v>
      </c>
      <c r="I643" s="214">
        <f t="shared" si="98"/>
        <v>0.10000000000000853</v>
      </c>
      <c r="J643" s="214">
        <f t="shared" si="100"/>
        <v>99.83686786296899</v>
      </c>
      <c r="K643" s="7"/>
      <c r="L643" s="7"/>
      <c r="M643" s="7"/>
    </row>
    <row r="644" spans="1:13" s="5" customFormat="1" ht="22.5">
      <c r="A644" s="215" t="s">
        <v>770</v>
      </c>
      <c r="B644" s="212" t="s">
        <v>648</v>
      </c>
      <c r="C644" s="216" t="s">
        <v>72</v>
      </c>
      <c r="D644" s="213" t="s">
        <v>70</v>
      </c>
      <c r="E644" s="216" t="s">
        <v>113</v>
      </c>
      <c r="F644" s="210"/>
      <c r="G644" s="214">
        <f t="shared" si="105"/>
        <v>61.30000000000001</v>
      </c>
      <c r="H644" s="214">
        <f t="shared" si="105"/>
        <v>61.2</v>
      </c>
      <c r="I644" s="214">
        <f t="shared" si="98"/>
        <v>0.10000000000000853</v>
      </c>
      <c r="J644" s="214">
        <f t="shared" si="100"/>
        <v>99.83686786296899</v>
      </c>
      <c r="K644" s="7"/>
      <c r="L644" s="7"/>
      <c r="M644" s="7"/>
    </row>
    <row r="645" spans="1:13" s="5" customFormat="1" ht="34.5" customHeight="1">
      <c r="A645" s="215" t="s">
        <v>106</v>
      </c>
      <c r="B645" s="212" t="s">
        <v>648</v>
      </c>
      <c r="C645" s="216" t="s">
        <v>72</v>
      </c>
      <c r="D645" s="213" t="s">
        <v>70</v>
      </c>
      <c r="E645" s="216" t="s">
        <v>107</v>
      </c>
      <c r="F645" s="210"/>
      <c r="G645" s="214">
        <f t="shared" si="105"/>
        <v>61.30000000000001</v>
      </c>
      <c r="H645" s="214">
        <f t="shared" si="105"/>
        <v>61.2</v>
      </c>
      <c r="I645" s="214">
        <f t="shared" si="98"/>
        <v>0.10000000000000853</v>
      </c>
      <c r="J645" s="214">
        <f t="shared" si="100"/>
        <v>99.83686786296899</v>
      </c>
      <c r="K645" s="7"/>
      <c r="L645" s="7"/>
      <c r="M645" s="7"/>
    </row>
    <row r="646" spans="1:13" s="5" customFormat="1" ht="33.75">
      <c r="A646" s="215" t="s">
        <v>108</v>
      </c>
      <c r="B646" s="212" t="s">
        <v>648</v>
      </c>
      <c r="C646" s="216" t="s">
        <v>72</v>
      </c>
      <c r="D646" s="213" t="s">
        <v>70</v>
      </c>
      <c r="E646" s="216" t="s">
        <v>109</v>
      </c>
      <c r="F646" s="210"/>
      <c r="G646" s="214">
        <f t="shared" si="105"/>
        <v>61.30000000000001</v>
      </c>
      <c r="H646" s="214">
        <f t="shared" si="105"/>
        <v>61.2</v>
      </c>
      <c r="I646" s="214">
        <f t="shared" si="98"/>
        <v>0.10000000000000853</v>
      </c>
      <c r="J646" s="214">
        <f t="shared" si="100"/>
        <v>99.83686786296899</v>
      </c>
      <c r="K646" s="7"/>
      <c r="L646" s="7"/>
      <c r="M646" s="7"/>
    </row>
    <row r="647" spans="1:13" s="5" customFormat="1" ht="33.75">
      <c r="A647" s="215" t="s">
        <v>587</v>
      </c>
      <c r="B647" s="212" t="s">
        <v>648</v>
      </c>
      <c r="C647" s="216" t="s">
        <v>72</v>
      </c>
      <c r="D647" s="213" t="s">
        <v>70</v>
      </c>
      <c r="E647" s="216" t="s">
        <v>109</v>
      </c>
      <c r="F647" s="210">
        <v>727</v>
      </c>
      <c r="G647" s="214">
        <f>300-60-178.7</f>
        <v>61.30000000000001</v>
      </c>
      <c r="H647" s="214">
        <v>61.2</v>
      </c>
      <c r="I647" s="214">
        <f t="shared" si="98"/>
        <v>0.10000000000000853</v>
      </c>
      <c r="J647" s="214">
        <f t="shared" si="100"/>
        <v>99.83686786296899</v>
      </c>
      <c r="K647" s="7"/>
      <c r="L647" s="7"/>
      <c r="M647" s="7"/>
    </row>
    <row r="648" spans="1:13" s="113" customFormat="1" ht="36" customHeight="1">
      <c r="A648" s="222" t="s">
        <v>692</v>
      </c>
      <c r="B648" s="219" t="s">
        <v>693</v>
      </c>
      <c r="C648" s="217"/>
      <c r="D648" s="209"/>
      <c r="E648" s="217"/>
      <c r="F648" s="201"/>
      <c r="G648" s="208">
        <f aca="true" t="shared" si="106" ref="G648:H653">G649</f>
        <v>4378.299999999999</v>
      </c>
      <c r="H648" s="208">
        <f t="shared" si="106"/>
        <v>4378.3</v>
      </c>
      <c r="I648" s="208">
        <f t="shared" si="98"/>
        <v>0</v>
      </c>
      <c r="J648" s="208">
        <f t="shared" si="100"/>
        <v>100.00000000000003</v>
      </c>
      <c r="K648" s="58"/>
      <c r="L648" s="58"/>
      <c r="M648" s="58"/>
    </row>
    <row r="649" spans="1:13" s="113" customFormat="1" ht="12.75">
      <c r="A649" s="232" t="s">
        <v>377</v>
      </c>
      <c r="B649" s="219" t="s">
        <v>693</v>
      </c>
      <c r="C649" s="217" t="s">
        <v>72</v>
      </c>
      <c r="D649" s="209" t="s">
        <v>36</v>
      </c>
      <c r="E649" s="217"/>
      <c r="F649" s="201"/>
      <c r="G649" s="208">
        <f t="shared" si="106"/>
        <v>4378.299999999999</v>
      </c>
      <c r="H649" s="208">
        <f t="shared" si="106"/>
        <v>4378.3</v>
      </c>
      <c r="I649" s="208">
        <f aca="true" t="shared" si="107" ref="I649:I712">G649-H649</f>
        <v>0</v>
      </c>
      <c r="J649" s="208">
        <f t="shared" si="100"/>
        <v>100.00000000000003</v>
      </c>
      <c r="K649" s="58"/>
      <c r="L649" s="58"/>
      <c r="M649" s="58"/>
    </row>
    <row r="650" spans="1:13" s="5" customFormat="1" ht="12.75">
      <c r="A650" s="215" t="s">
        <v>246</v>
      </c>
      <c r="B650" s="220" t="s">
        <v>693</v>
      </c>
      <c r="C650" s="216" t="s">
        <v>72</v>
      </c>
      <c r="D650" s="213" t="s">
        <v>70</v>
      </c>
      <c r="E650" s="216"/>
      <c r="F650" s="210"/>
      <c r="G650" s="214">
        <f t="shared" si="106"/>
        <v>4378.299999999999</v>
      </c>
      <c r="H650" s="214">
        <f t="shared" si="106"/>
        <v>4378.3</v>
      </c>
      <c r="I650" s="214">
        <f t="shared" si="107"/>
        <v>0</v>
      </c>
      <c r="J650" s="214">
        <f t="shared" si="100"/>
        <v>100.00000000000003</v>
      </c>
      <c r="K650" s="7"/>
      <c r="L650" s="7"/>
      <c r="M650" s="7"/>
    </row>
    <row r="651" spans="1:13" s="5" customFormat="1" ht="22.5">
      <c r="A651" s="215" t="s">
        <v>770</v>
      </c>
      <c r="B651" s="220" t="s">
        <v>693</v>
      </c>
      <c r="C651" s="216" t="s">
        <v>72</v>
      </c>
      <c r="D651" s="213" t="s">
        <v>70</v>
      </c>
      <c r="E651" s="216" t="s">
        <v>113</v>
      </c>
      <c r="F651" s="210"/>
      <c r="G651" s="214">
        <f t="shared" si="106"/>
        <v>4378.299999999999</v>
      </c>
      <c r="H651" s="214">
        <f t="shared" si="106"/>
        <v>4378.3</v>
      </c>
      <c r="I651" s="214">
        <f t="shared" si="107"/>
        <v>0</v>
      </c>
      <c r="J651" s="214">
        <f t="shared" si="100"/>
        <v>100.00000000000003</v>
      </c>
      <c r="K651" s="7"/>
      <c r="L651" s="7"/>
      <c r="M651" s="7"/>
    </row>
    <row r="652" spans="1:13" s="5" customFormat="1" ht="33" customHeight="1">
      <c r="A652" s="221" t="s">
        <v>106</v>
      </c>
      <c r="B652" s="220" t="s">
        <v>693</v>
      </c>
      <c r="C652" s="216" t="s">
        <v>72</v>
      </c>
      <c r="D652" s="213" t="s">
        <v>70</v>
      </c>
      <c r="E652" s="216" t="s">
        <v>107</v>
      </c>
      <c r="F652" s="210"/>
      <c r="G652" s="214">
        <f t="shared" si="106"/>
        <v>4378.299999999999</v>
      </c>
      <c r="H652" s="214">
        <f t="shared" si="106"/>
        <v>4378.3</v>
      </c>
      <c r="I652" s="214">
        <f t="shared" si="107"/>
        <v>0</v>
      </c>
      <c r="J652" s="214">
        <f t="shared" si="100"/>
        <v>100.00000000000003</v>
      </c>
      <c r="K652" s="7"/>
      <c r="L652" s="7"/>
      <c r="M652" s="7"/>
    </row>
    <row r="653" spans="1:13" s="5" customFormat="1" ht="33.75">
      <c r="A653" s="221" t="s">
        <v>108</v>
      </c>
      <c r="B653" s="220" t="s">
        <v>693</v>
      </c>
      <c r="C653" s="216" t="s">
        <v>72</v>
      </c>
      <c r="D653" s="213" t="s">
        <v>70</v>
      </c>
      <c r="E653" s="216" t="s">
        <v>109</v>
      </c>
      <c r="F653" s="210"/>
      <c r="G653" s="214">
        <f t="shared" si="106"/>
        <v>4378.299999999999</v>
      </c>
      <c r="H653" s="214">
        <f t="shared" si="106"/>
        <v>4378.3</v>
      </c>
      <c r="I653" s="214">
        <f t="shared" si="107"/>
        <v>0</v>
      </c>
      <c r="J653" s="214">
        <f t="shared" si="100"/>
        <v>100.00000000000003</v>
      </c>
      <c r="K653" s="7"/>
      <c r="L653" s="7"/>
      <c r="M653" s="7"/>
    </row>
    <row r="654" spans="1:13" s="5" customFormat="1" ht="33.75">
      <c r="A654" s="215" t="s">
        <v>587</v>
      </c>
      <c r="B654" s="220" t="s">
        <v>693</v>
      </c>
      <c r="C654" s="216" t="s">
        <v>72</v>
      </c>
      <c r="D654" s="213" t="s">
        <v>70</v>
      </c>
      <c r="E654" s="216" t="s">
        <v>109</v>
      </c>
      <c r="F654" s="210">
        <v>727</v>
      </c>
      <c r="G654" s="214">
        <f>235.4+4142.9</f>
        <v>4378.299999999999</v>
      </c>
      <c r="H654" s="214">
        <v>4378.3</v>
      </c>
      <c r="I654" s="214">
        <f t="shared" si="107"/>
        <v>0</v>
      </c>
      <c r="J654" s="214">
        <f aca="true" t="shared" si="108" ref="J654:J717">H654/G654*100</f>
        <v>100.00000000000003</v>
      </c>
      <c r="K654" s="7"/>
      <c r="L654" s="7"/>
      <c r="M654" s="7"/>
    </row>
    <row r="655" spans="1:13" s="113" customFormat="1" ht="31.5">
      <c r="A655" s="222" t="s">
        <v>694</v>
      </c>
      <c r="B655" s="219" t="s">
        <v>695</v>
      </c>
      <c r="C655" s="217"/>
      <c r="D655" s="209"/>
      <c r="E655" s="217"/>
      <c r="F655" s="201"/>
      <c r="G655" s="208">
        <f aca="true" t="shared" si="109" ref="G655:H661">G656</f>
        <v>100</v>
      </c>
      <c r="H655" s="208">
        <f t="shared" si="109"/>
        <v>100</v>
      </c>
      <c r="I655" s="208">
        <f t="shared" si="107"/>
        <v>0</v>
      </c>
      <c r="J655" s="208">
        <f t="shared" si="108"/>
        <v>100</v>
      </c>
      <c r="K655" s="58"/>
      <c r="L655" s="58"/>
      <c r="M655" s="58"/>
    </row>
    <row r="656" spans="1:13" s="113" customFormat="1" ht="12.75">
      <c r="A656" s="232" t="s">
        <v>377</v>
      </c>
      <c r="B656" s="219" t="s">
        <v>695</v>
      </c>
      <c r="C656" s="217" t="s">
        <v>72</v>
      </c>
      <c r="D656" s="209" t="s">
        <v>36</v>
      </c>
      <c r="E656" s="217"/>
      <c r="F656" s="201"/>
      <c r="G656" s="208">
        <f t="shared" si="109"/>
        <v>100</v>
      </c>
      <c r="H656" s="208">
        <f t="shared" si="109"/>
        <v>100</v>
      </c>
      <c r="I656" s="208">
        <f t="shared" si="107"/>
        <v>0</v>
      </c>
      <c r="J656" s="208">
        <f t="shared" si="108"/>
        <v>100</v>
      </c>
      <c r="K656" s="58"/>
      <c r="L656" s="58"/>
      <c r="M656" s="58"/>
    </row>
    <row r="657" spans="1:13" s="113" customFormat="1" ht="12.75">
      <c r="A657" s="215" t="s">
        <v>246</v>
      </c>
      <c r="B657" s="220" t="s">
        <v>695</v>
      </c>
      <c r="C657" s="216" t="s">
        <v>72</v>
      </c>
      <c r="D657" s="213" t="s">
        <v>70</v>
      </c>
      <c r="E657" s="216"/>
      <c r="F657" s="210"/>
      <c r="G657" s="214">
        <f t="shared" si="109"/>
        <v>100</v>
      </c>
      <c r="H657" s="214">
        <f t="shared" si="109"/>
        <v>100</v>
      </c>
      <c r="I657" s="214">
        <f t="shared" si="107"/>
        <v>0</v>
      </c>
      <c r="J657" s="214">
        <f t="shared" si="108"/>
        <v>100</v>
      </c>
      <c r="K657" s="58"/>
      <c r="L657" s="58"/>
      <c r="M657" s="58"/>
    </row>
    <row r="658" spans="1:13" s="5" customFormat="1" ht="22.5">
      <c r="A658" s="215" t="s">
        <v>770</v>
      </c>
      <c r="B658" s="220" t="s">
        <v>695</v>
      </c>
      <c r="C658" s="216" t="s">
        <v>72</v>
      </c>
      <c r="D658" s="213" t="s">
        <v>70</v>
      </c>
      <c r="E658" s="216" t="s">
        <v>113</v>
      </c>
      <c r="F658" s="210"/>
      <c r="G658" s="214">
        <f t="shared" si="109"/>
        <v>100</v>
      </c>
      <c r="H658" s="214">
        <f t="shared" si="109"/>
        <v>100</v>
      </c>
      <c r="I658" s="214">
        <f t="shared" si="107"/>
        <v>0</v>
      </c>
      <c r="J658" s="214">
        <f t="shared" si="108"/>
        <v>100</v>
      </c>
      <c r="K658" s="7"/>
      <c r="L658" s="7"/>
      <c r="M658" s="7"/>
    </row>
    <row r="659" spans="1:13" s="5" customFormat="1" ht="36.75" customHeight="1">
      <c r="A659" s="221" t="s">
        <v>106</v>
      </c>
      <c r="B659" s="220" t="s">
        <v>695</v>
      </c>
      <c r="C659" s="216" t="s">
        <v>72</v>
      </c>
      <c r="D659" s="213" t="s">
        <v>70</v>
      </c>
      <c r="E659" s="216" t="s">
        <v>107</v>
      </c>
      <c r="F659" s="210"/>
      <c r="G659" s="214">
        <f t="shared" si="109"/>
        <v>100</v>
      </c>
      <c r="H659" s="214">
        <f t="shared" si="109"/>
        <v>100</v>
      </c>
      <c r="I659" s="214">
        <f t="shared" si="107"/>
        <v>0</v>
      </c>
      <c r="J659" s="214">
        <f t="shared" si="108"/>
        <v>100</v>
      </c>
      <c r="K659" s="7"/>
      <c r="L659" s="7"/>
      <c r="M659" s="7"/>
    </row>
    <row r="660" spans="1:13" s="5" customFormat="1" ht="33.75">
      <c r="A660" s="221" t="s">
        <v>108</v>
      </c>
      <c r="B660" s="220" t="s">
        <v>695</v>
      </c>
      <c r="C660" s="216" t="s">
        <v>72</v>
      </c>
      <c r="D660" s="213" t="s">
        <v>70</v>
      </c>
      <c r="E660" s="216" t="s">
        <v>109</v>
      </c>
      <c r="F660" s="210"/>
      <c r="G660" s="214">
        <f t="shared" si="109"/>
        <v>100</v>
      </c>
      <c r="H660" s="214">
        <f t="shared" si="109"/>
        <v>100</v>
      </c>
      <c r="I660" s="214">
        <f t="shared" si="107"/>
        <v>0</v>
      </c>
      <c r="J660" s="214">
        <f t="shared" si="108"/>
        <v>100</v>
      </c>
      <c r="K660" s="7"/>
      <c r="L660" s="7"/>
      <c r="M660" s="7"/>
    </row>
    <row r="661" spans="1:13" s="5" customFormat="1" ht="18.75" customHeight="1">
      <c r="A661" s="221" t="s">
        <v>883</v>
      </c>
      <c r="B661" s="220" t="s">
        <v>695</v>
      </c>
      <c r="C661" s="216" t="s">
        <v>72</v>
      </c>
      <c r="D661" s="213" t="s">
        <v>70</v>
      </c>
      <c r="E661" s="216" t="s">
        <v>109</v>
      </c>
      <c r="F661" s="210"/>
      <c r="G661" s="214">
        <f t="shared" si="109"/>
        <v>100</v>
      </c>
      <c r="H661" s="214">
        <f t="shared" si="109"/>
        <v>100</v>
      </c>
      <c r="I661" s="214">
        <f t="shared" si="107"/>
        <v>0</v>
      </c>
      <c r="J661" s="214">
        <f t="shared" si="108"/>
        <v>100</v>
      </c>
      <c r="K661" s="7"/>
      <c r="L661" s="7"/>
      <c r="M661" s="7"/>
    </row>
    <row r="662" spans="1:13" s="5" customFormat="1" ht="33.75">
      <c r="A662" s="215" t="s">
        <v>587</v>
      </c>
      <c r="B662" s="220" t="s">
        <v>695</v>
      </c>
      <c r="C662" s="216" t="s">
        <v>72</v>
      </c>
      <c r="D662" s="213" t="s">
        <v>70</v>
      </c>
      <c r="E662" s="216" t="s">
        <v>109</v>
      </c>
      <c r="F662" s="210">
        <v>727</v>
      </c>
      <c r="G662" s="214">
        <v>100</v>
      </c>
      <c r="H662" s="214">
        <v>100</v>
      </c>
      <c r="I662" s="214">
        <f t="shared" si="107"/>
        <v>0</v>
      </c>
      <c r="J662" s="214">
        <f t="shared" si="108"/>
        <v>100</v>
      </c>
      <c r="K662" s="7"/>
      <c r="L662" s="7"/>
      <c r="M662" s="7"/>
    </row>
    <row r="663" spans="1:13" s="5" customFormat="1" ht="44.25" customHeight="1">
      <c r="A663" s="232" t="s">
        <v>375</v>
      </c>
      <c r="B663" s="202" t="s">
        <v>376</v>
      </c>
      <c r="C663" s="209"/>
      <c r="D663" s="209"/>
      <c r="E663" s="217"/>
      <c r="F663" s="201"/>
      <c r="G663" s="208">
        <f>G664</f>
        <v>2700</v>
      </c>
      <c r="H663" s="208">
        <f>H664</f>
        <v>2683.4</v>
      </c>
      <c r="I663" s="208">
        <f t="shared" si="107"/>
        <v>16.59999999999991</v>
      </c>
      <c r="J663" s="208">
        <f t="shared" si="108"/>
        <v>99.3851851851852</v>
      </c>
      <c r="K663" s="7"/>
      <c r="L663" s="7"/>
      <c r="M663" s="7"/>
    </row>
    <row r="664" spans="1:13" s="5" customFormat="1" ht="21">
      <c r="A664" s="232" t="s">
        <v>372</v>
      </c>
      <c r="B664" s="202" t="s">
        <v>498</v>
      </c>
      <c r="C664" s="213"/>
      <c r="D664" s="213"/>
      <c r="E664" s="216"/>
      <c r="F664" s="210"/>
      <c r="G664" s="208">
        <f>G665+G671</f>
        <v>2700</v>
      </c>
      <c r="H664" s="208">
        <f>H665+H671</f>
        <v>2683.4</v>
      </c>
      <c r="I664" s="208">
        <f t="shared" si="107"/>
        <v>16.59999999999991</v>
      </c>
      <c r="J664" s="208">
        <f t="shared" si="108"/>
        <v>99.3851851851852</v>
      </c>
      <c r="K664" s="7"/>
      <c r="L664" s="7"/>
      <c r="M664" s="7"/>
    </row>
    <row r="665" spans="1:13" s="5" customFormat="1" ht="35.25" customHeight="1">
      <c r="A665" s="232" t="s">
        <v>657</v>
      </c>
      <c r="B665" s="202" t="s">
        <v>499</v>
      </c>
      <c r="C665" s="216"/>
      <c r="D665" s="209"/>
      <c r="E665" s="217"/>
      <c r="F665" s="201"/>
      <c r="G665" s="208">
        <f aca="true" t="shared" si="110" ref="G665:H669">G666</f>
        <v>1700</v>
      </c>
      <c r="H665" s="208">
        <f t="shared" si="110"/>
        <v>1683.4</v>
      </c>
      <c r="I665" s="208">
        <f t="shared" si="107"/>
        <v>16.59999999999991</v>
      </c>
      <c r="J665" s="208">
        <f t="shared" si="108"/>
        <v>99.02352941176471</v>
      </c>
      <c r="K665" s="7"/>
      <c r="L665" s="7"/>
      <c r="M665" s="7"/>
    </row>
    <row r="666" spans="1:13" s="5" customFormat="1" ht="12.75" customHeight="1">
      <c r="A666" s="232" t="s">
        <v>377</v>
      </c>
      <c r="B666" s="202" t="s">
        <v>499</v>
      </c>
      <c r="C666" s="217" t="s">
        <v>72</v>
      </c>
      <c r="D666" s="209" t="s">
        <v>36</v>
      </c>
      <c r="E666" s="217"/>
      <c r="F666" s="201"/>
      <c r="G666" s="208">
        <f t="shared" si="110"/>
        <v>1700</v>
      </c>
      <c r="H666" s="208">
        <f t="shared" si="110"/>
        <v>1683.4</v>
      </c>
      <c r="I666" s="208">
        <f t="shared" si="107"/>
        <v>16.59999999999991</v>
      </c>
      <c r="J666" s="208">
        <f t="shared" si="108"/>
        <v>99.02352941176471</v>
      </c>
      <c r="K666" s="7"/>
      <c r="L666" s="7"/>
      <c r="M666" s="7"/>
    </row>
    <row r="667" spans="1:13" s="5" customFormat="1" ht="15" customHeight="1">
      <c r="A667" s="215" t="s">
        <v>244</v>
      </c>
      <c r="B667" s="212" t="s">
        <v>499</v>
      </c>
      <c r="C667" s="216" t="s">
        <v>72</v>
      </c>
      <c r="D667" s="213" t="s">
        <v>67</v>
      </c>
      <c r="E667" s="216"/>
      <c r="F667" s="210"/>
      <c r="G667" s="214">
        <f t="shared" si="110"/>
        <v>1700</v>
      </c>
      <c r="H667" s="214">
        <f t="shared" si="110"/>
        <v>1683.4</v>
      </c>
      <c r="I667" s="214">
        <f t="shared" si="107"/>
        <v>16.59999999999991</v>
      </c>
      <c r="J667" s="214">
        <f t="shared" si="108"/>
        <v>99.02352941176471</v>
      </c>
      <c r="K667" s="7"/>
      <c r="L667" s="7"/>
      <c r="M667" s="7"/>
    </row>
    <row r="668" spans="1:13" s="5" customFormat="1" ht="12.75">
      <c r="A668" s="215" t="s">
        <v>137</v>
      </c>
      <c r="B668" s="212" t="s">
        <v>499</v>
      </c>
      <c r="C668" s="216" t="s">
        <v>72</v>
      </c>
      <c r="D668" s="213" t="s">
        <v>67</v>
      </c>
      <c r="E668" s="216" t="s">
        <v>138</v>
      </c>
      <c r="F668" s="210"/>
      <c r="G668" s="214">
        <f t="shared" si="110"/>
        <v>1700</v>
      </c>
      <c r="H668" s="214">
        <f t="shared" si="110"/>
        <v>1683.4</v>
      </c>
      <c r="I668" s="214">
        <f t="shared" si="107"/>
        <v>16.59999999999991</v>
      </c>
      <c r="J668" s="214">
        <f t="shared" si="108"/>
        <v>99.02352941176471</v>
      </c>
      <c r="K668" s="7"/>
      <c r="L668" s="7"/>
      <c r="M668" s="7"/>
    </row>
    <row r="669" spans="1:13" s="5" customFormat="1" ht="46.5" customHeight="1">
      <c r="A669" s="215" t="s">
        <v>182</v>
      </c>
      <c r="B669" s="212" t="s">
        <v>499</v>
      </c>
      <c r="C669" s="216" t="s">
        <v>72</v>
      </c>
      <c r="D669" s="213" t="s">
        <v>67</v>
      </c>
      <c r="E669" s="216" t="s">
        <v>139</v>
      </c>
      <c r="F669" s="210"/>
      <c r="G669" s="214">
        <f t="shared" si="110"/>
        <v>1700</v>
      </c>
      <c r="H669" s="214">
        <f t="shared" si="110"/>
        <v>1683.4</v>
      </c>
      <c r="I669" s="214">
        <f t="shared" si="107"/>
        <v>16.59999999999991</v>
      </c>
      <c r="J669" s="214">
        <f t="shared" si="108"/>
        <v>99.02352941176471</v>
      </c>
      <c r="K669" s="7"/>
      <c r="L669" s="7"/>
      <c r="M669" s="7"/>
    </row>
    <row r="670" spans="1:13" s="5" customFormat="1" ht="34.5" customHeight="1">
      <c r="A670" s="215" t="s">
        <v>587</v>
      </c>
      <c r="B670" s="212" t="s">
        <v>499</v>
      </c>
      <c r="C670" s="216" t="s">
        <v>72</v>
      </c>
      <c r="D670" s="213" t="s">
        <v>67</v>
      </c>
      <c r="E670" s="216" t="s">
        <v>139</v>
      </c>
      <c r="F670" s="210">
        <v>727</v>
      </c>
      <c r="G670" s="214">
        <v>1700</v>
      </c>
      <c r="H670" s="214">
        <v>1683.4</v>
      </c>
      <c r="I670" s="214">
        <f t="shared" si="107"/>
        <v>16.59999999999991</v>
      </c>
      <c r="J670" s="214">
        <f t="shared" si="108"/>
        <v>99.02352941176471</v>
      </c>
      <c r="K670" s="7"/>
      <c r="L670" s="7"/>
      <c r="M670" s="7"/>
    </row>
    <row r="671" spans="1:13" s="5" customFormat="1" ht="31.5">
      <c r="A671" s="232" t="s">
        <v>637</v>
      </c>
      <c r="B671" s="202" t="s">
        <v>638</v>
      </c>
      <c r="C671" s="217"/>
      <c r="D671" s="209"/>
      <c r="E671" s="217"/>
      <c r="F671" s="201"/>
      <c r="G671" s="208">
        <f aca="true" t="shared" si="111" ref="G671:H675">G672</f>
        <v>1000</v>
      </c>
      <c r="H671" s="208">
        <f t="shared" si="111"/>
        <v>1000</v>
      </c>
      <c r="I671" s="208">
        <f t="shared" si="107"/>
        <v>0</v>
      </c>
      <c r="J671" s="208">
        <f t="shared" si="108"/>
        <v>100</v>
      </c>
      <c r="K671" s="7"/>
      <c r="L671" s="7"/>
      <c r="M671" s="7"/>
    </row>
    <row r="672" spans="1:13" s="5" customFormat="1" ht="12.75">
      <c r="A672" s="232" t="s">
        <v>377</v>
      </c>
      <c r="B672" s="202" t="s">
        <v>638</v>
      </c>
      <c r="C672" s="217" t="s">
        <v>72</v>
      </c>
      <c r="D672" s="209" t="s">
        <v>36</v>
      </c>
      <c r="E672" s="217"/>
      <c r="F672" s="201"/>
      <c r="G672" s="208">
        <f t="shared" si="111"/>
        <v>1000</v>
      </c>
      <c r="H672" s="208">
        <f t="shared" si="111"/>
        <v>1000</v>
      </c>
      <c r="I672" s="208">
        <f t="shared" si="107"/>
        <v>0</v>
      </c>
      <c r="J672" s="208">
        <f t="shared" si="108"/>
        <v>100</v>
      </c>
      <c r="K672" s="7"/>
      <c r="L672" s="7"/>
      <c r="M672" s="7"/>
    </row>
    <row r="673" spans="1:13" s="5" customFormat="1" ht="12.75">
      <c r="A673" s="215" t="s">
        <v>244</v>
      </c>
      <c r="B673" s="212" t="s">
        <v>638</v>
      </c>
      <c r="C673" s="216" t="s">
        <v>72</v>
      </c>
      <c r="D673" s="213" t="s">
        <v>67</v>
      </c>
      <c r="E673" s="217"/>
      <c r="F673" s="201"/>
      <c r="G673" s="214">
        <f t="shared" si="111"/>
        <v>1000</v>
      </c>
      <c r="H673" s="214">
        <f t="shared" si="111"/>
        <v>1000</v>
      </c>
      <c r="I673" s="214">
        <f t="shared" si="107"/>
        <v>0</v>
      </c>
      <c r="J673" s="214">
        <f t="shared" si="108"/>
        <v>100</v>
      </c>
      <c r="K673" s="7"/>
      <c r="L673" s="7"/>
      <c r="M673" s="7"/>
    </row>
    <row r="674" spans="1:13" s="5" customFormat="1" ht="12.75">
      <c r="A674" s="215" t="s">
        <v>137</v>
      </c>
      <c r="B674" s="212" t="s">
        <v>638</v>
      </c>
      <c r="C674" s="216" t="s">
        <v>72</v>
      </c>
      <c r="D674" s="213" t="s">
        <v>67</v>
      </c>
      <c r="E674" s="216" t="s">
        <v>138</v>
      </c>
      <c r="F674" s="210"/>
      <c r="G674" s="214">
        <f t="shared" si="111"/>
        <v>1000</v>
      </c>
      <c r="H674" s="214">
        <f t="shared" si="111"/>
        <v>1000</v>
      </c>
      <c r="I674" s="214">
        <f t="shared" si="107"/>
        <v>0</v>
      </c>
      <c r="J674" s="214">
        <f t="shared" si="108"/>
        <v>100</v>
      </c>
      <c r="K674" s="7"/>
      <c r="L674" s="7"/>
      <c r="M674" s="7"/>
    </row>
    <row r="675" spans="1:13" s="5" customFormat="1" ht="27" customHeight="1">
      <c r="A675" s="215" t="s">
        <v>182</v>
      </c>
      <c r="B675" s="212" t="s">
        <v>638</v>
      </c>
      <c r="C675" s="216" t="s">
        <v>72</v>
      </c>
      <c r="D675" s="213" t="s">
        <v>67</v>
      </c>
      <c r="E675" s="216" t="s">
        <v>139</v>
      </c>
      <c r="F675" s="210"/>
      <c r="G675" s="214">
        <f t="shared" si="111"/>
        <v>1000</v>
      </c>
      <c r="H675" s="214">
        <f t="shared" si="111"/>
        <v>1000</v>
      </c>
      <c r="I675" s="214">
        <f t="shared" si="107"/>
        <v>0</v>
      </c>
      <c r="J675" s="214">
        <f t="shared" si="108"/>
        <v>100</v>
      </c>
      <c r="K675" s="7"/>
      <c r="L675" s="7"/>
      <c r="M675" s="7"/>
    </row>
    <row r="676" spans="1:13" s="5" customFormat="1" ht="33.75">
      <c r="A676" s="215" t="s">
        <v>587</v>
      </c>
      <c r="B676" s="212" t="s">
        <v>638</v>
      </c>
      <c r="C676" s="216" t="s">
        <v>72</v>
      </c>
      <c r="D676" s="213" t="s">
        <v>67</v>
      </c>
      <c r="E676" s="216" t="s">
        <v>139</v>
      </c>
      <c r="F676" s="210">
        <v>727</v>
      </c>
      <c r="G676" s="214">
        <v>1000</v>
      </c>
      <c r="H676" s="214">
        <v>1000</v>
      </c>
      <c r="I676" s="214">
        <f t="shared" si="107"/>
        <v>0</v>
      </c>
      <c r="J676" s="214">
        <f t="shared" si="108"/>
        <v>100</v>
      </c>
      <c r="K676" s="7"/>
      <c r="L676" s="7"/>
      <c r="M676" s="7"/>
    </row>
    <row r="677" spans="1:13" s="5" customFormat="1" ht="32.25" customHeight="1">
      <c r="A677" s="232" t="s">
        <v>615</v>
      </c>
      <c r="B677" s="202" t="s">
        <v>601</v>
      </c>
      <c r="C677" s="213"/>
      <c r="D677" s="213"/>
      <c r="E677" s="216"/>
      <c r="F677" s="210"/>
      <c r="G677" s="208">
        <f aca="true" t="shared" si="112" ref="G677:H682">G678</f>
        <v>200</v>
      </c>
      <c r="H677" s="208">
        <f t="shared" si="112"/>
        <v>200</v>
      </c>
      <c r="I677" s="208">
        <f t="shared" si="107"/>
        <v>0</v>
      </c>
      <c r="J677" s="208">
        <f t="shared" si="108"/>
        <v>100</v>
      </c>
      <c r="K677" s="7"/>
      <c r="L677" s="7"/>
      <c r="M677" s="7"/>
    </row>
    <row r="678" spans="1:13" s="5" customFormat="1" ht="38.25" customHeight="1">
      <c r="A678" s="215" t="s">
        <v>600</v>
      </c>
      <c r="B678" s="212" t="s">
        <v>602</v>
      </c>
      <c r="C678" s="213"/>
      <c r="D678" s="213"/>
      <c r="E678" s="216"/>
      <c r="F678" s="210"/>
      <c r="G678" s="214">
        <f t="shared" si="112"/>
        <v>200</v>
      </c>
      <c r="H678" s="214">
        <f t="shared" si="112"/>
        <v>200</v>
      </c>
      <c r="I678" s="214">
        <f t="shared" si="107"/>
        <v>0</v>
      </c>
      <c r="J678" s="214">
        <f t="shared" si="108"/>
        <v>100</v>
      </c>
      <c r="K678" s="7"/>
      <c r="L678" s="7"/>
      <c r="M678" s="7"/>
    </row>
    <row r="679" spans="1:13" s="5" customFormat="1" ht="33.75">
      <c r="A679" s="215" t="s">
        <v>616</v>
      </c>
      <c r="B679" s="212" t="s">
        <v>603</v>
      </c>
      <c r="C679" s="209"/>
      <c r="D679" s="209"/>
      <c r="E679" s="217"/>
      <c r="F679" s="201"/>
      <c r="G679" s="214">
        <f t="shared" si="112"/>
        <v>200</v>
      </c>
      <c r="H679" s="214">
        <f t="shared" si="112"/>
        <v>200</v>
      </c>
      <c r="I679" s="214">
        <f t="shared" si="107"/>
        <v>0</v>
      </c>
      <c r="J679" s="214">
        <f t="shared" si="108"/>
        <v>100</v>
      </c>
      <c r="K679" s="7"/>
      <c r="L679" s="7"/>
      <c r="M679" s="7"/>
    </row>
    <row r="680" spans="1:13" s="5" customFormat="1" ht="12.75">
      <c r="A680" s="215" t="s">
        <v>247</v>
      </c>
      <c r="B680" s="212" t="s">
        <v>603</v>
      </c>
      <c r="C680" s="213" t="s">
        <v>68</v>
      </c>
      <c r="D680" s="213" t="s">
        <v>36</v>
      </c>
      <c r="E680" s="216"/>
      <c r="F680" s="210"/>
      <c r="G680" s="214">
        <f t="shared" si="112"/>
        <v>200</v>
      </c>
      <c r="H680" s="214">
        <f t="shared" si="112"/>
        <v>200</v>
      </c>
      <c r="I680" s="214">
        <f t="shared" si="107"/>
        <v>0</v>
      </c>
      <c r="J680" s="214">
        <f t="shared" si="108"/>
        <v>100</v>
      </c>
      <c r="K680" s="7"/>
      <c r="L680" s="7"/>
      <c r="M680" s="7"/>
    </row>
    <row r="681" spans="1:13" s="5" customFormat="1" ht="12.75">
      <c r="A681" s="215" t="s">
        <v>579</v>
      </c>
      <c r="B681" s="212" t="s">
        <v>603</v>
      </c>
      <c r="C681" s="213" t="s">
        <v>68</v>
      </c>
      <c r="D681" s="213" t="s">
        <v>76</v>
      </c>
      <c r="E681" s="216"/>
      <c r="F681" s="210"/>
      <c r="G681" s="214">
        <f t="shared" si="112"/>
        <v>200</v>
      </c>
      <c r="H681" s="214">
        <f t="shared" si="112"/>
        <v>200</v>
      </c>
      <c r="I681" s="214">
        <f t="shared" si="107"/>
        <v>0</v>
      </c>
      <c r="J681" s="214">
        <f t="shared" si="108"/>
        <v>100</v>
      </c>
      <c r="K681" s="7"/>
      <c r="L681" s="7"/>
      <c r="M681" s="7"/>
    </row>
    <row r="682" spans="1:13" s="5" customFormat="1" ht="22.5">
      <c r="A682" s="215" t="s">
        <v>632</v>
      </c>
      <c r="B682" s="212" t="s">
        <v>603</v>
      </c>
      <c r="C682" s="213" t="s">
        <v>68</v>
      </c>
      <c r="D682" s="213" t="s">
        <v>76</v>
      </c>
      <c r="E682" s="216" t="s">
        <v>634</v>
      </c>
      <c r="F682" s="210"/>
      <c r="G682" s="214">
        <f t="shared" si="112"/>
        <v>200</v>
      </c>
      <c r="H682" s="214">
        <f t="shared" si="112"/>
        <v>200</v>
      </c>
      <c r="I682" s="214">
        <f t="shared" si="107"/>
        <v>0</v>
      </c>
      <c r="J682" s="214">
        <f t="shared" si="108"/>
        <v>100</v>
      </c>
      <c r="K682" s="7"/>
      <c r="L682" s="7"/>
      <c r="M682" s="7"/>
    </row>
    <row r="683" spans="1:13" s="5" customFormat="1" ht="12.75">
      <c r="A683" s="215" t="s">
        <v>633</v>
      </c>
      <c r="B683" s="212" t="s">
        <v>603</v>
      </c>
      <c r="C683" s="213" t="s">
        <v>68</v>
      </c>
      <c r="D683" s="213" t="s">
        <v>76</v>
      </c>
      <c r="E683" s="216" t="s">
        <v>635</v>
      </c>
      <c r="F683" s="210"/>
      <c r="G683" s="214">
        <f>G685</f>
        <v>200</v>
      </c>
      <c r="H683" s="214">
        <f>H685</f>
        <v>200</v>
      </c>
      <c r="I683" s="214">
        <f t="shared" si="107"/>
        <v>0</v>
      </c>
      <c r="J683" s="214">
        <f t="shared" si="108"/>
        <v>100</v>
      </c>
      <c r="K683" s="7"/>
      <c r="L683" s="7"/>
      <c r="M683" s="7"/>
    </row>
    <row r="684" spans="1:13" s="5" customFormat="1" ht="33.75">
      <c r="A684" s="215" t="s">
        <v>884</v>
      </c>
      <c r="B684" s="212" t="s">
        <v>603</v>
      </c>
      <c r="C684" s="213" t="s">
        <v>68</v>
      </c>
      <c r="D684" s="213" t="s">
        <v>76</v>
      </c>
      <c r="E684" s="216" t="s">
        <v>636</v>
      </c>
      <c r="F684" s="210"/>
      <c r="G684" s="214">
        <f>G685</f>
        <v>200</v>
      </c>
      <c r="H684" s="214">
        <f>H685</f>
        <v>200</v>
      </c>
      <c r="I684" s="214">
        <f t="shared" si="107"/>
        <v>0</v>
      </c>
      <c r="J684" s="214">
        <f t="shared" si="108"/>
        <v>100</v>
      </c>
      <c r="K684" s="7"/>
      <c r="L684" s="7"/>
      <c r="M684" s="7"/>
    </row>
    <row r="685" spans="1:13" s="5" customFormat="1" ht="12" customHeight="1">
      <c r="A685" s="211" t="s">
        <v>169</v>
      </c>
      <c r="B685" s="212" t="s">
        <v>603</v>
      </c>
      <c r="C685" s="213" t="s">
        <v>68</v>
      </c>
      <c r="D685" s="213" t="s">
        <v>76</v>
      </c>
      <c r="E685" s="216" t="s">
        <v>636</v>
      </c>
      <c r="F685" s="210">
        <v>721</v>
      </c>
      <c r="G685" s="214">
        <v>200</v>
      </c>
      <c r="H685" s="214">
        <v>200</v>
      </c>
      <c r="I685" s="214">
        <f t="shared" si="107"/>
        <v>0</v>
      </c>
      <c r="J685" s="214">
        <f t="shared" si="108"/>
        <v>100</v>
      </c>
      <c r="K685" s="7"/>
      <c r="L685" s="7"/>
      <c r="M685" s="7"/>
    </row>
    <row r="686" spans="1:13" s="5" customFormat="1" ht="42">
      <c r="A686" s="232" t="s">
        <v>663</v>
      </c>
      <c r="B686" s="202" t="s">
        <v>621</v>
      </c>
      <c r="C686" s="236"/>
      <c r="D686" s="209"/>
      <c r="E686" s="217"/>
      <c r="F686" s="201"/>
      <c r="G686" s="208">
        <f>G687</f>
        <v>82.5</v>
      </c>
      <c r="H686" s="208">
        <f>H687</f>
        <v>77.5</v>
      </c>
      <c r="I686" s="208">
        <f t="shared" si="107"/>
        <v>5</v>
      </c>
      <c r="J686" s="208">
        <f t="shared" si="108"/>
        <v>93.93939393939394</v>
      </c>
      <c r="K686" s="7"/>
      <c r="L686" s="7"/>
      <c r="M686" s="7"/>
    </row>
    <row r="687" spans="1:13" s="5" customFormat="1" ht="33.75">
      <c r="A687" s="215" t="s">
        <v>620</v>
      </c>
      <c r="B687" s="212" t="s">
        <v>622</v>
      </c>
      <c r="C687" s="236"/>
      <c r="D687" s="213"/>
      <c r="E687" s="216"/>
      <c r="F687" s="210"/>
      <c r="G687" s="214">
        <f>G695+G688+G702</f>
        <v>82.5</v>
      </c>
      <c r="H687" s="214">
        <f>H695+H688+H702</f>
        <v>77.5</v>
      </c>
      <c r="I687" s="214">
        <f t="shared" si="107"/>
        <v>5</v>
      </c>
      <c r="J687" s="214">
        <f t="shared" si="108"/>
        <v>93.93939393939394</v>
      </c>
      <c r="K687" s="7"/>
      <c r="L687" s="7"/>
      <c r="M687" s="7"/>
    </row>
    <row r="688" spans="1:13" s="113" customFormat="1" ht="44.25" customHeight="1">
      <c r="A688" s="222" t="s">
        <v>671</v>
      </c>
      <c r="B688" s="219" t="s">
        <v>672</v>
      </c>
      <c r="C688" s="238"/>
      <c r="D688" s="209"/>
      <c r="E688" s="217"/>
      <c r="F688" s="201"/>
      <c r="G688" s="208">
        <f aca="true" t="shared" si="113" ref="G688:H693">G689</f>
        <v>34.5</v>
      </c>
      <c r="H688" s="208">
        <f t="shared" si="113"/>
        <v>34.5</v>
      </c>
      <c r="I688" s="208">
        <f t="shared" si="107"/>
        <v>0</v>
      </c>
      <c r="J688" s="208">
        <f t="shared" si="108"/>
        <v>100</v>
      </c>
      <c r="K688" s="58"/>
      <c r="L688" s="58"/>
      <c r="M688" s="58"/>
    </row>
    <row r="689" spans="1:13" s="5" customFormat="1" ht="12.75">
      <c r="A689" s="215" t="s">
        <v>879</v>
      </c>
      <c r="B689" s="220" t="s">
        <v>672</v>
      </c>
      <c r="C689" s="236" t="s">
        <v>66</v>
      </c>
      <c r="D689" s="213" t="s">
        <v>36</v>
      </c>
      <c r="E689" s="216"/>
      <c r="F689" s="210"/>
      <c r="G689" s="214">
        <f t="shared" si="113"/>
        <v>34.5</v>
      </c>
      <c r="H689" s="214">
        <f t="shared" si="113"/>
        <v>34.5</v>
      </c>
      <c r="I689" s="214">
        <f t="shared" si="107"/>
        <v>0</v>
      </c>
      <c r="J689" s="214">
        <f t="shared" si="108"/>
        <v>100</v>
      </c>
      <c r="K689" s="7"/>
      <c r="L689" s="7"/>
      <c r="M689" s="7"/>
    </row>
    <row r="690" spans="1:13" s="5" customFormat="1" ht="12.75">
      <c r="A690" s="215" t="s">
        <v>63</v>
      </c>
      <c r="B690" s="220" t="s">
        <v>672</v>
      </c>
      <c r="C690" s="236" t="s">
        <v>66</v>
      </c>
      <c r="D690" s="213" t="s">
        <v>89</v>
      </c>
      <c r="E690" s="216"/>
      <c r="F690" s="210"/>
      <c r="G690" s="214">
        <f t="shared" si="113"/>
        <v>34.5</v>
      </c>
      <c r="H690" s="214">
        <f t="shared" si="113"/>
        <v>34.5</v>
      </c>
      <c r="I690" s="214">
        <f t="shared" si="107"/>
        <v>0</v>
      </c>
      <c r="J690" s="214">
        <f t="shared" si="108"/>
        <v>100</v>
      </c>
      <c r="K690" s="7"/>
      <c r="L690" s="7"/>
      <c r="M690" s="7"/>
    </row>
    <row r="691" spans="1:13" s="5" customFormat="1" ht="22.5">
      <c r="A691" s="215" t="s">
        <v>770</v>
      </c>
      <c r="B691" s="220" t="s">
        <v>672</v>
      </c>
      <c r="C691" s="236" t="s">
        <v>66</v>
      </c>
      <c r="D691" s="213" t="s">
        <v>89</v>
      </c>
      <c r="E691" s="216" t="s">
        <v>113</v>
      </c>
      <c r="F691" s="210"/>
      <c r="G691" s="214">
        <f t="shared" si="113"/>
        <v>34.5</v>
      </c>
      <c r="H691" s="214">
        <f t="shared" si="113"/>
        <v>34.5</v>
      </c>
      <c r="I691" s="214">
        <f t="shared" si="107"/>
        <v>0</v>
      </c>
      <c r="J691" s="214">
        <f t="shared" si="108"/>
        <v>100</v>
      </c>
      <c r="K691" s="7"/>
      <c r="L691" s="7"/>
      <c r="M691" s="7"/>
    </row>
    <row r="692" spans="1:13" s="5" customFormat="1" ht="33" customHeight="1">
      <c r="A692" s="215" t="s">
        <v>106</v>
      </c>
      <c r="B692" s="220" t="s">
        <v>672</v>
      </c>
      <c r="C692" s="236" t="s">
        <v>66</v>
      </c>
      <c r="D692" s="213" t="s">
        <v>89</v>
      </c>
      <c r="E692" s="216" t="s">
        <v>107</v>
      </c>
      <c r="F692" s="210"/>
      <c r="G692" s="214">
        <f t="shared" si="113"/>
        <v>34.5</v>
      </c>
      <c r="H692" s="214">
        <f t="shared" si="113"/>
        <v>34.5</v>
      </c>
      <c r="I692" s="214">
        <f t="shared" si="107"/>
        <v>0</v>
      </c>
      <c r="J692" s="214">
        <f t="shared" si="108"/>
        <v>100</v>
      </c>
      <c r="K692" s="7"/>
      <c r="L692" s="7"/>
      <c r="M692" s="7"/>
    </row>
    <row r="693" spans="1:13" s="5" customFormat="1" ht="33.75">
      <c r="A693" s="215" t="s">
        <v>108</v>
      </c>
      <c r="B693" s="220" t="s">
        <v>672</v>
      </c>
      <c r="C693" s="216" t="s">
        <v>66</v>
      </c>
      <c r="D693" s="213" t="s">
        <v>89</v>
      </c>
      <c r="E693" s="216" t="s">
        <v>109</v>
      </c>
      <c r="F693" s="210"/>
      <c r="G693" s="214">
        <f t="shared" si="113"/>
        <v>34.5</v>
      </c>
      <c r="H693" s="214">
        <f t="shared" si="113"/>
        <v>34.5</v>
      </c>
      <c r="I693" s="214">
        <f t="shared" si="107"/>
        <v>0</v>
      </c>
      <c r="J693" s="214">
        <f t="shared" si="108"/>
        <v>100</v>
      </c>
      <c r="K693" s="7"/>
      <c r="L693" s="7"/>
      <c r="M693" s="7"/>
    </row>
    <row r="694" spans="1:13" s="5" customFormat="1" ht="12.75">
      <c r="A694" s="211" t="s">
        <v>169</v>
      </c>
      <c r="B694" s="220" t="s">
        <v>672</v>
      </c>
      <c r="C694" s="236" t="s">
        <v>66</v>
      </c>
      <c r="D694" s="213" t="s">
        <v>89</v>
      </c>
      <c r="E694" s="216" t="s">
        <v>109</v>
      </c>
      <c r="F694" s="210">
        <v>721</v>
      </c>
      <c r="G694" s="214">
        <f>52-17.5</f>
        <v>34.5</v>
      </c>
      <c r="H694" s="214">
        <v>34.5</v>
      </c>
      <c r="I694" s="214">
        <f t="shared" si="107"/>
        <v>0</v>
      </c>
      <c r="J694" s="214">
        <f t="shared" si="108"/>
        <v>100</v>
      </c>
      <c r="K694" s="7"/>
      <c r="L694" s="7"/>
      <c r="M694" s="7"/>
    </row>
    <row r="695" spans="1:13" s="113" customFormat="1" ht="43.5" customHeight="1">
      <c r="A695" s="232" t="s">
        <v>652</v>
      </c>
      <c r="B695" s="202" t="s">
        <v>664</v>
      </c>
      <c r="C695" s="238"/>
      <c r="D695" s="209"/>
      <c r="E695" s="217"/>
      <c r="F695" s="201"/>
      <c r="G695" s="208">
        <f aca="true" t="shared" si="114" ref="G695:H700">G696</f>
        <v>10</v>
      </c>
      <c r="H695" s="208">
        <f t="shared" si="114"/>
        <v>5</v>
      </c>
      <c r="I695" s="208">
        <f t="shared" si="107"/>
        <v>5</v>
      </c>
      <c r="J695" s="208">
        <f t="shared" si="108"/>
        <v>50</v>
      </c>
      <c r="K695" s="58"/>
      <c r="L695" s="58"/>
      <c r="M695" s="58"/>
    </row>
    <row r="696" spans="1:13" s="5" customFormat="1" ht="12.75">
      <c r="A696" s="215" t="s">
        <v>879</v>
      </c>
      <c r="B696" s="212" t="s">
        <v>664</v>
      </c>
      <c r="C696" s="236" t="s">
        <v>66</v>
      </c>
      <c r="D696" s="213" t="s">
        <v>36</v>
      </c>
      <c r="E696" s="216"/>
      <c r="F696" s="210"/>
      <c r="G696" s="214">
        <f t="shared" si="114"/>
        <v>10</v>
      </c>
      <c r="H696" s="214">
        <f t="shared" si="114"/>
        <v>5</v>
      </c>
      <c r="I696" s="214">
        <f t="shared" si="107"/>
        <v>5</v>
      </c>
      <c r="J696" s="214">
        <f t="shared" si="108"/>
        <v>50</v>
      </c>
      <c r="K696" s="7"/>
      <c r="L696" s="7"/>
      <c r="M696" s="7"/>
    </row>
    <row r="697" spans="1:13" s="5" customFormat="1" ht="12.75">
      <c r="A697" s="215" t="s">
        <v>63</v>
      </c>
      <c r="B697" s="212" t="s">
        <v>664</v>
      </c>
      <c r="C697" s="236" t="s">
        <v>66</v>
      </c>
      <c r="D697" s="213" t="s">
        <v>89</v>
      </c>
      <c r="E697" s="216"/>
      <c r="F697" s="210"/>
      <c r="G697" s="214">
        <f t="shared" si="114"/>
        <v>10</v>
      </c>
      <c r="H697" s="214">
        <f t="shared" si="114"/>
        <v>5</v>
      </c>
      <c r="I697" s="214">
        <f t="shared" si="107"/>
        <v>5</v>
      </c>
      <c r="J697" s="214">
        <f t="shared" si="108"/>
        <v>50</v>
      </c>
      <c r="K697" s="7"/>
      <c r="L697" s="7"/>
      <c r="M697" s="7"/>
    </row>
    <row r="698" spans="1:13" s="5" customFormat="1" ht="22.5">
      <c r="A698" s="215" t="s">
        <v>770</v>
      </c>
      <c r="B698" s="212" t="s">
        <v>664</v>
      </c>
      <c r="C698" s="236" t="s">
        <v>66</v>
      </c>
      <c r="D698" s="213" t="s">
        <v>89</v>
      </c>
      <c r="E698" s="236" t="s">
        <v>113</v>
      </c>
      <c r="F698" s="210"/>
      <c r="G698" s="214">
        <f t="shared" si="114"/>
        <v>10</v>
      </c>
      <c r="H698" s="214">
        <f t="shared" si="114"/>
        <v>5</v>
      </c>
      <c r="I698" s="214">
        <f t="shared" si="107"/>
        <v>5</v>
      </c>
      <c r="J698" s="214">
        <f t="shared" si="108"/>
        <v>50</v>
      </c>
      <c r="K698" s="7"/>
      <c r="L698" s="7"/>
      <c r="M698" s="7"/>
    </row>
    <row r="699" spans="1:13" s="5" customFormat="1" ht="13.5" customHeight="1">
      <c r="A699" s="215" t="s">
        <v>106</v>
      </c>
      <c r="B699" s="212" t="s">
        <v>664</v>
      </c>
      <c r="C699" s="236" t="s">
        <v>66</v>
      </c>
      <c r="D699" s="213" t="s">
        <v>89</v>
      </c>
      <c r="E699" s="236" t="s">
        <v>107</v>
      </c>
      <c r="F699" s="210"/>
      <c r="G699" s="214">
        <f t="shared" si="114"/>
        <v>10</v>
      </c>
      <c r="H699" s="214">
        <f t="shared" si="114"/>
        <v>5</v>
      </c>
      <c r="I699" s="214">
        <f t="shared" si="107"/>
        <v>5</v>
      </c>
      <c r="J699" s="214">
        <f t="shared" si="108"/>
        <v>50</v>
      </c>
      <c r="K699" s="7"/>
      <c r="L699" s="7"/>
      <c r="M699" s="7"/>
    </row>
    <row r="700" spans="1:13" s="5" customFormat="1" ht="33.75">
      <c r="A700" s="215" t="s">
        <v>108</v>
      </c>
      <c r="B700" s="212" t="s">
        <v>664</v>
      </c>
      <c r="C700" s="213" t="s">
        <v>66</v>
      </c>
      <c r="D700" s="213" t="s">
        <v>89</v>
      </c>
      <c r="E700" s="213" t="s">
        <v>109</v>
      </c>
      <c r="F700" s="210"/>
      <c r="G700" s="214">
        <f t="shared" si="114"/>
        <v>10</v>
      </c>
      <c r="H700" s="214">
        <f t="shared" si="114"/>
        <v>5</v>
      </c>
      <c r="I700" s="214">
        <f t="shared" si="107"/>
        <v>5</v>
      </c>
      <c r="J700" s="214">
        <f t="shared" si="108"/>
        <v>50</v>
      </c>
      <c r="K700" s="7"/>
      <c r="L700" s="7"/>
      <c r="M700" s="7"/>
    </row>
    <row r="701" spans="1:13" s="5" customFormat="1" ht="12.75">
      <c r="A701" s="211" t="s">
        <v>169</v>
      </c>
      <c r="B701" s="212" t="s">
        <v>664</v>
      </c>
      <c r="C701" s="213" t="s">
        <v>66</v>
      </c>
      <c r="D701" s="213" t="s">
        <v>89</v>
      </c>
      <c r="E701" s="213" t="s">
        <v>109</v>
      </c>
      <c r="F701" s="210">
        <v>721</v>
      </c>
      <c r="G701" s="214">
        <v>10</v>
      </c>
      <c r="H701" s="214">
        <v>5</v>
      </c>
      <c r="I701" s="214">
        <f t="shared" si="107"/>
        <v>5</v>
      </c>
      <c r="J701" s="214">
        <f t="shared" si="108"/>
        <v>50</v>
      </c>
      <c r="K701" s="7"/>
      <c r="L701" s="7"/>
      <c r="M701" s="7"/>
    </row>
    <row r="702" spans="1:13" s="113" customFormat="1" ht="24.75" customHeight="1">
      <c r="A702" s="222" t="s">
        <v>724</v>
      </c>
      <c r="B702" s="202" t="s">
        <v>709</v>
      </c>
      <c r="C702" s="209"/>
      <c r="D702" s="209"/>
      <c r="E702" s="209"/>
      <c r="F702" s="201"/>
      <c r="G702" s="208">
        <f aca="true" t="shared" si="115" ref="G702:H707">G703</f>
        <v>38</v>
      </c>
      <c r="H702" s="208">
        <f t="shared" si="115"/>
        <v>38</v>
      </c>
      <c r="I702" s="208">
        <f t="shared" si="107"/>
        <v>0</v>
      </c>
      <c r="J702" s="208">
        <f t="shared" si="108"/>
        <v>100</v>
      </c>
      <c r="K702" s="58"/>
      <c r="L702" s="58"/>
      <c r="M702" s="58"/>
    </row>
    <row r="703" spans="1:13" s="113" customFormat="1" ht="12.75">
      <c r="A703" s="215" t="s">
        <v>879</v>
      </c>
      <c r="B703" s="212" t="s">
        <v>709</v>
      </c>
      <c r="C703" s="236" t="s">
        <v>66</v>
      </c>
      <c r="D703" s="213" t="s">
        <v>36</v>
      </c>
      <c r="E703" s="209"/>
      <c r="F703" s="201"/>
      <c r="G703" s="214">
        <f t="shared" si="115"/>
        <v>38</v>
      </c>
      <c r="H703" s="214">
        <f t="shared" si="115"/>
        <v>38</v>
      </c>
      <c r="I703" s="214">
        <f t="shared" si="107"/>
        <v>0</v>
      </c>
      <c r="J703" s="214">
        <f t="shared" si="108"/>
        <v>100</v>
      </c>
      <c r="K703" s="58"/>
      <c r="L703" s="58"/>
      <c r="M703" s="58"/>
    </row>
    <row r="704" spans="1:13" s="113" customFormat="1" ht="13.5" customHeight="1">
      <c r="A704" s="215" t="s">
        <v>63</v>
      </c>
      <c r="B704" s="212" t="s">
        <v>709</v>
      </c>
      <c r="C704" s="236" t="s">
        <v>66</v>
      </c>
      <c r="D704" s="213" t="s">
        <v>89</v>
      </c>
      <c r="E704" s="209"/>
      <c r="F704" s="201"/>
      <c r="G704" s="214">
        <f t="shared" si="115"/>
        <v>38</v>
      </c>
      <c r="H704" s="214">
        <f t="shared" si="115"/>
        <v>38</v>
      </c>
      <c r="I704" s="214">
        <f t="shared" si="107"/>
        <v>0</v>
      </c>
      <c r="J704" s="214">
        <f t="shared" si="108"/>
        <v>100</v>
      </c>
      <c r="K704" s="58"/>
      <c r="L704" s="58"/>
      <c r="M704" s="58"/>
    </row>
    <row r="705" spans="1:13" s="5" customFormat="1" ht="22.5">
      <c r="A705" s="215" t="s">
        <v>770</v>
      </c>
      <c r="B705" s="212" t="s">
        <v>709</v>
      </c>
      <c r="C705" s="236" t="s">
        <v>66</v>
      </c>
      <c r="D705" s="213" t="s">
        <v>89</v>
      </c>
      <c r="E705" s="213" t="s">
        <v>113</v>
      </c>
      <c r="F705" s="210"/>
      <c r="G705" s="214">
        <f t="shared" si="115"/>
        <v>38</v>
      </c>
      <c r="H705" s="214">
        <f t="shared" si="115"/>
        <v>38</v>
      </c>
      <c r="I705" s="214">
        <f t="shared" si="107"/>
        <v>0</v>
      </c>
      <c r="J705" s="214">
        <f t="shared" si="108"/>
        <v>100</v>
      </c>
      <c r="K705" s="7"/>
      <c r="L705" s="7"/>
      <c r="M705" s="7"/>
    </row>
    <row r="706" spans="1:13" s="5" customFormat="1" ht="33.75" customHeight="1">
      <c r="A706" s="221" t="s">
        <v>106</v>
      </c>
      <c r="B706" s="212" t="s">
        <v>709</v>
      </c>
      <c r="C706" s="216" t="s">
        <v>66</v>
      </c>
      <c r="D706" s="213" t="s">
        <v>89</v>
      </c>
      <c r="E706" s="213" t="s">
        <v>107</v>
      </c>
      <c r="F706" s="210"/>
      <c r="G706" s="214">
        <f t="shared" si="115"/>
        <v>38</v>
      </c>
      <c r="H706" s="214">
        <f t="shared" si="115"/>
        <v>38</v>
      </c>
      <c r="I706" s="214">
        <f t="shared" si="107"/>
        <v>0</v>
      </c>
      <c r="J706" s="214">
        <f t="shared" si="108"/>
        <v>100</v>
      </c>
      <c r="K706" s="7"/>
      <c r="L706" s="7"/>
      <c r="M706" s="7"/>
    </row>
    <row r="707" spans="1:13" s="5" customFormat="1" ht="33.75">
      <c r="A707" s="221" t="s">
        <v>108</v>
      </c>
      <c r="B707" s="212" t="s">
        <v>709</v>
      </c>
      <c r="C707" s="216" t="s">
        <v>66</v>
      </c>
      <c r="D707" s="213" t="s">
        <v>89</v>
      </c>
      <c r="E707" s="213" t="s">
        <v>109</v>
      </c>
      <c r="F707" s="210"/>
      <c r="G707" s="214">
        <f t="shared" si="115"/>
        <v>38</v>
      </c>
      <c r="H707" s="214">
        <f t="shared" si="115"/>
        <v>38</v>
      </c>
      <c r="I707" s="214">
        <f t="shared" si="107"/>
        <v>0</v>
      </c>
      <c r="J707" s="214">
        <f t="shared" si="108"/>
        <v>100</v>
      </c>
      <c r="K707" s="7"/>
      <c r="L707" s="7"/>
      <c r="M707" s="7"/>
    </row>
    <row r="708" spans="1:13" s="5" customFormat="1" ht="12.75">
      <c r="A708" s="211" t="s">
        <v>169</v>
      </c>
      <c r="B708" s="212" t="s">
        <v>709</v>
      </c>
      <c r="C708" s="216" t="s">
        <v>66</v>
      </c>
      <c r="D708" s="213" t="s">
        <v>89</v>
      </c>
      <c r="E708" s="213" t="s">
        <v>109</v>
      </c>
      <c r="F708" s="210">
        <v>721</v>
      </c>
      <c r="G708" s="214">
        <v>38</v>
      </c>
      <c r="H708" s="214">
        <v>38</v>
      </c>
      <c r="I708" s="214">
        <f t="shared" si="107"/>
        <v>0</v>
      </c>
      <c r="J708" s="214">
        <f t="shared" si="108"/>
        <v>100</v>
      </c>
      <c r="K708" s="7"/>
      <c r="L708" s="7"/>
      <c r="M708" s="7"/>
    </row>
    <row r="709" spans="1:13" s="5" customFormat="1" ht="44.25" customHeight="1">
      <c r="A709" s="232" t="s">
        <v>639</v>
      </c>
      <c r="B709" s="202" t="s">
        <v>643</v>
      </c>
      <c r="C709" s="217"/>
      <c r="D709" s="209"/>
      <c r="E709" s="209"/>
      <c r="F709" s="201"/>
      <c r="G709" s="208">
        <f>G710</f>
        <v>19711.2</v>
      </c>
      <c r="H709" s="208">
        <f>H710</f>
        <v>19710.1</v>
      </c>
      <c r="I709" s="208">
        <f t="shared" si="107"/>
        <v>1.1000000000021828</v>
      </c>
      <c r="J709" s="208">
        <f t="shared" si="108"/>
        <v>99.99441941637241</v>
      </c>
      <c r="K709" s="7"/>
      <c r="L709" s="7"/>
      <c r="M709" s="7"/>
    </row>
    <row r="710" spans="1:13" s="5" customFormat="1" ht="33.75" customHeight="1">
      <c r="A710" s="232" t="s">
        <v>640</v>
      </c>
      <c r="B710" s="202" t="s">
        <v>644</v>
      </c>
      <c r="C710" s="217"/>
      <c r="D710" s="209"/>
      <c r="E710" s="209"/>
      <c r="F710" s="201"/>
      <c r="G710" s="208">
        <f>G721+G711</f>
        <v>19711.2</v>
      </c>
      <c r="H710" s="208">
        <f>H721+H711</f>
        <v>19710.1</v>
      </c>
      <c r="I710" s="208">
        <f t="shared" si="107"/>
        <v>1.1000000000021828</v>
      </c>
      <c r="J710" s="208">
        <f t="shared" si="108"/>
        <v>99.99441941637241</v>
      </c>
      <c r="K710" s="7"/>
      <c r="L710" s="7"/>
      <c r="M710" s="7"/>
    </row>
    <row r="711" spans="1:13" s="113" customFormat="1" ht="35.25" customHeight="1">
      <c r="A711" s="222" t="s">
        <v>701</v>
      </c>
      <c r="B711" s="219" t="s">
        <v>702</v>
      </c>
      <c r="C711" s="217"/>
      <c r="D711" s="209"/>
      <c r="E711" s="209"/>
      <c r="F711" s="201"/>
      <c r="G711" s="208">
        <f>G712</f>
        <v>19406.8</v>
      </c>
      <c r="H711" s="208">
        <f>H712</f>
        <v>19405.8</v>
      </c>
      <c r="I711" s="208">
        <f t="shared" si="107"/>
        <v>1</v>
      </c>
      <c r="J711" s="208">
        <f t="shared" si="108"/>
        <v>99.9948471669724</v>
      </c>
      <c r="K711" s="58"/>
      <c r="L711" s="58"/>
      <c r="M711" s="58"/>
    </row>
    <row r="712" spans="1:13" s="113" customFormat="1" ht="12.75">
      <c r="A712" s="222" t="s">
        <v>377</v>
      </c>
      <c r="B712" s="219" t="s">
        <v>702</v>
      </c>
      <c r="C712" s="217" t="s">
        <v>72</v>
      </c>
      <c r="D712" s="209" t="s">
        <v>36</v>
      </c>
      <c r="E712" s="209"/>
      <c r="F712" s="201"/>
      <c r="G712" s="208">
        <f>G713</f>
        <v>19406.8</v>
      </c>
      <c r="H712" s="208">
        <f>H713</f>
        <v>19405.8</v>
      </c>
      <c r="I712" s="208">
        <f t="shared" si="107"/>
        <v>1</v>
      </c>
      <c r="J712" s="208">
        <f t="shared" si="108"/>
        <v>99.9948471669724</v>
      </c>
      <c r="K712" s="58"/>
      <c r="L712" s="58"/>
      <c r="M712" s="58"/>
    </row>
    <row r="713" spans="1:13" s="113" customFormat="1" ht="12.75">
      <c r="A713" s="221" t="s">
        <v>244</v>
      </c>
      <c r="B713" s="220" t="s">
        <v>702</v>
      </c>
      <c r="C713" s="217" t="s">
        <v>72</v>
      </c>
      <c r="D713" s="209" t="s">
        <v>67</v>
      </c>
      <c r="E713" s="209"/>
      <c r="F713" s="201"/>
      <c r="G713" s="208">
        <f>G714+G718</f>
        <v>19406.8</v>
      </c>
      <c r="H713" s="208">
        <f>H714+H718</f>
        <v>19405.8</v>
      </c>
      <c r="I713" s="208">
        <f aca="true" t="shared" si="116" ref="I713:I747">G713-H713</f>
        <v>1</v>
      </c>
      <c r="J713" s="208">
        <f t="shared" si="108"/>
        <v>99.9948471669724</v>
      </c>
      <c r="K713" s="58"/>
      <c r="L713" s="58"/>
      <c r="M713" s="58"/>
    </row>
    <row r="714" spans="1:13" s="5" customFormat="1" ht="22.5">
      <c r="A714" s="215" t="s">
        <v>770</v>
      </c>
      <c r="B714" s="220" t="s">
        <v>702</v>
      </c>
      <c r="C714" s="216" t="s">
        <v>72</v>
      </c>
      <c r="D714" s="213" t="s">
        <v>67</v>
      </c>
      <c r="E714" s="213" t="s">
        <v>113</v>
      </c>
      <c r="F714" s="201"/>
      <c r="G714" s="214">
        <f aca="true" t="shared" si="117" ref="G714:H716">G715</f>
        <v>3222.9000000000005</v>
      </c>
      <c r="H714" s="214">
        <f t="shared" si="117"/>
        <v>3222.9</v>
      </c>
      <c r="I714" s="214">
        <f t="shared" si="116"/>
        <v>0</v>
      </c>
      <c r="J714" s="214">
        <f t="shared" si="108"/>
        <v>99.99999999999999</v>
      </c>
      <c r="K714" s="7"/>
      <c r="L714" s="7"/>
      <c r="M714" s="7"/>
    </row>
    <row r="715" spans="1:13" s="5" customFormat="1" ht="33.75">
      <c r="A715" s="221" t="s">
        <v>106</v>
      </c>
      <c r="B715" s="220" t="s">
        <v>702</v>
      </c>
      <c r="C715" s="216" t="s">
        <v>72</v>
      </c>
      <c r="D715" s="213" t="s">
        <v>67</v>
      </c>
      <c r="E715" s="213" t="s">
        <v>107</v>
      </c>
      <c r="F715" s="201"/>
      <c r="G715" s="214">
        <f t="shared" si="117"/>
        <v>3222.9000000000005</v>
      </c>
      <c r="H715" s="214">
        <f t="shared" si="117"/>
        <v>3222.9</v>
      </c>
      <c r="I715" s="214">
        <f t="shared" si="116"/>
        <v>0</v>
      </c>
      <c r="J715" s="214">
        <f t="shared" si="108"/>
        <v>99.99999999999999</v>
      </c>
      <c r="K715" s="7"/>
      <c r="L715" s="7"/>
      <c r="M715" s="7"/>
    </row>
    <row r="716" spans="1:13" s="5" customFormat="1" ht="33.75">
      <c r="A716" s="221" t="s">
        <v>108</v>
      </c>
      <c r="B716" s="220" t="s">
        <v>702</v>
      </c>
      <c r="C716" s="216" t="s">
        <v>72</v>
      </c>
      <c r="D716" s="213" t="s">
        <v>67</v>
      </c>
      <c r="E716" s="213" t="s">
        <v>109</v>
      </c>
      <c r="F716" s="201"/>
      <c r="G716" s="214">
        <f t="shared" si="117"/>
        <v>3222.9000000000005</v>
      </c>
      <c r="H716" s="214">
        <f t="shared" si="117"/>
        <v>3222.9</v>
      </c>
      <c r="I716" s="214">
        <f t="shared" si="116"/>
        <v>0</v>
      </c>
      <c r="J716" s="214">
        <f t="shared" si="108"/>
        <v>99.99999999999999</v>
      </c>
      <c r="K716" s="7"/>
      <c r="L716" s="7"/>
      <c r="M716" s="7"/>
    </row>
    <row r="717" spans="1:13" s="5" customFormat="1" ht="33.75">
      <c r="A717" s="221" t="s">
        <v>587</v>
      </c>
      <c r="B717" s="220" t="s">
        <v>702</v>
      </c>
      <c r="C717" s="216" t="s">
        <v>72</v>
      </c>
      <c r="D717" s="213" t="s">
        <v>67</v>
      </c>
      <c r="E717" s="213" t="s">
        <v>109</v>
      </c>
      <c r="F717" s="210">
        <v>727</v>
      </c>
      <c r="G717" s="214">
        <f>14669+1500+3101-16183.9+136.8</f>
        <v>3222.9000000000005</v>
      </c>
      <c r="H717" s="214">
        <v>3222.9</v>
      </c>
      <c r="I717" s="214">
        <f t="shared" si="116"/>
        <v>0</v>
      </c>
      <c r="J717" s="214">
        <f t="shared" si="108"/>
        <v>99.99999999999999</v>
      </c>
      <c r="K717" s="7"/>
      <c r="L717" s="7"/>
      <c r="M717" s="7"/>
    </row>
    <row r="718" spans="1:13" s="5" customFormat="1" ht="12.75">
      <c r="A718" s="215" t="s">
        <v>137</v>
      </c>
      <c r="B718" s="220" t="s">
        <v>702</v>
      </c>
      <c r="C718" s="216" t="s">
        <v>72</v>
      </c>
      <c r="D718" s="213" t="s">
        <v>67</v>
      </c>
      <c r="E718" s="213" t="s">
        <v>138</v>
      </c>
      <c r="F718" s="210"/>
      <c r="G718" s="214">
        <f>G719</f>
        <v>16183.9</v>
      </c>
      <c r="H718" s="214">
        <f>H719</f>
        <v>16182.9</v>
      </c>
      <c r="I718" s="214">
        <f t="shared" si="116"/>
        <v>1</v>
      </c>
      <c r="J718" s="214">
        <f aca="true" t="shared" si="118" ref="J718:J747">H718/G718*100</f>
        <v>99.99382101965534</v>
      </c>
      <c r="K718" s="7"/>
      <c r="L718" s="7"/>
      <c r="M718" s="7"/>
    </row>
    <row r="719" spans="1:13" s="5" customFormat="1" ht="45.75" customHeight="1">
      <c r="A719" s="215" t="s">
        <v>182</v>
      </c>
      <c r="B719" s="220" t="s">
        <v>702</v>
      </c>
      <c r="C719" s="216" t="s">
        <v>72</v>
      </c>
      <c r="D719" s="213" t="s">
        <v>67</v>
      </c>
      <c r="E719" s="213" t="s">
        <v>139</v>
      </c>
      <c r="F719" s="210"/>
      <c r="G719" s="214">
        <f>G720</f>
        <v>16183.9</v>
      </c>
      <c r="H719" s="214">
        <f>H720</f>
        <v>16182.9</v>
      </c>
      <c r="I719" s="214">
        <f t="shared" si="116"/>
        <v>1</v>
      </c>
      <c r="J719" s="214">
        <f t="shared" si="118"/>
        <v>99.99382101965534</v>
      </c>
      <c r="K719" s="7"/>
      <c r="L719" s="7"/>
      <c r="M719" s="7"/>
    </row>
    <row r="720" spans="1:13" s="5" customFormat="1" ht="33.75">
      <c r="A720" s="215" t="s">
        <v>587</v>
      </c>
      <c r="B720" s="220" t="s">
        <v>702</v>
      </c>
      <c r="C720" s="216" t="s">
        <v>72</v>
      </c>
      <c r="D720" s="213" t="s">
        <v>67</v>
      </c>
      <c r="E720" s="213" t="s">
        <v>139</v>
      </c>
      <c r="F720" s="210">
        <v>727</v>
      </c>
      <c r="G720" s="214">
        <v>16183.9</v>
      </c>
      <c r="H720" s="214">
        <v>16182.9</v>
      </c>
      <c r="I720" s="214">
        <f t="shared" si="116"/>
        <v>1</v>
      </c>
      <c r="J720" s="214">
        <f t="shared" si="118"/>
        <v>99.99382101965534</v>
      </c>
      <c r="K720" s="7"/>
      <c r="L720" s="7"/>
      <c r="M720" s="7"/>
    </row>
    <row r="721" spans="1:13" s="5" customFormat="1" ht="31.5">
      <c r="A721" s="232" t="s">
        <v>641</v>
      </c>
      <c r="B721" s="202" t="s">
        <v>665</v>
      </c>
      <c r="C721" s="217"/>
      <c r="D721" s="209"/>
      <c r="E721" s="209"/>
      <c r="F721" s="201"/>
      <c r="G721" s="208">
        <f>G722</f>
        <v>304.4</v>
      </c>
      <c r="H721" s="208">
        <f>H722</f>
        <v>304.3</v>
      </c>
      <c r="I721" s="208">
        <f t="shared" si="116"/>
        <v>0.0999999999999659</v>
      </c>
      <c r="J721" s="208">
        <f t="shared" si="118"/>
        <v>99.96714848883049</v>
      </c>
      <c r="K721" s="7"/>
      <c r="L721" s="7"/>
      <c r="M721" s="7"/>
    </row>
    <row r="722" spans="1:13" s="5" customFormat="1" ht="12.75">
      <c r="A722" s="232" t="s">
        <v>377</v>
      </c>
      <c r="B722" s="202" t="s">
        <v>665</v>
      </c>
      <c r="C722" s="217" t="s">
        <v>72</v>
      </c>
      <c r="D722" s="209" t="s">
        <v>36</v>
      </c>
      <c r="E722" s="209"/>
      <c r="F722" s="201"/>
      <c r="G722" s="208">
        <f>G723</f>
        <v>304.4</v>
      </c>
      <c r="H722" s="208">
        <f>H723</f>
        <v>304.3</v>
      </c>
      <c r="I722" s="208">
        <f t="shared" si="116"/>
        <v>0.0999999999999659</v>
      </c>
      <c r="J722" s="208">
        <f t="shared" si="118"/>
        <v>99.96714848883049</v>
      </c>
      <c r="K722" s="7"/>
      <c r="L722" s="7"/>
      <c r="M722" s="7"/>
    </row>
    <row r="723" spans="1:13" s="5" customFormat="1" ht="12.75">
      <c r="A723" s="215" t="s">
        <v>244</v>
      </c>
      <c r="B723" s="212" t="s">
        <v>665</v>
      </c>
      <c r="C723" s="216" t="s">
        <v>72</v>
      </c>
      <c r="D723" s="213" t="s">
        <v>67</v>
      </c>
      <c r="E723" s="209"/>
      <c r="F723" s="201"/>
      <c r="G723" s="208">
        <f>G724+G728</f>
        <v>304.4</v>
      </c>
      <c r="H723" s="208">
        <f>H724+H728</f>
        <v>304.3</v>
      </c>
      <c r="I723" s="208">
        <f t="shared" si="116"/>
        <v>0.0999999999999659</v>
      </c>
      <c r="J723" s="208">
        <f t="shared" si="118"/>
        <v>99.96714848883049</v>
      </c>
      <c r="K723" s="7"/>
      <c r="L723" s="7"/>
      <c r="M723" s="7"/>
    </row>
    <row r="724" spans="1:13" s="5" customFormat="1" ht="22.5">
      <c r="A724" s="215" t="s">
        <v>770</v>
      </c>
      <c r="B724" s="212" t="s">
        <v>665</v>
      </c>
      <c r="C724" s="216" t="s">
        <v>72</v>
      </c>
      <c r="D724" s="213" t="s">
        <v>67</v>
      </c>
      <c r="E724" s="216" t="s">
        <v>113</v>
      </c>
      <c r="F724" s="210"/>
      <c r="G724" s="214">
        <f aca="true" t="shared" si="119" ref="G724:H726">G725</f>
        <v>107.1</v>
      </c>
      <c r="H724" s="214">
        <f t="shared" si="119"/>
        <v>107</v>
      </c>
      <c r="I724" s="214">
        <f t="shared" si="116"/>
        <v>0.09999999999999432</v>
      </c>
      <c r="J724" s="214">
        <f t="shared" si="118"/>
        <v>99.90662931839402</v>
      </c>
      <c r="K724" s="7"/>
      <c r="L724" s="7"/>
      <c r="M724" s="7"/>
    </row>
    <row r="725" spans="1:13" s="5" customFormat="1" ht="36.75" customHeight="1">
      <c r="A725" s="215" t="s">
        <v>106</v>
      </c>
      <c r="B725" s="212" t="s">
        <v>665</v>
      </c>
      <c r="C725" s="216" t="s">
        <v>72</v>
      </c>
      <c r="D725" s="213" t="s">
        <v>67</v>
      </c>
      <c r="E725" s="216" t="s">
        <v>107</v>
      </c>
      <c r="F725" s="210"/>
      <c r="G725" s="214">
        <f t="shared" si="119"/>
        <v>107.1</v>
      </c>
      <c r="H725" s="214">
        <f t="shared" si="119"/>
        <v>107</v>
      </c>
      <c r="I725" s="214">
        <f t="shared" si="116"/>
        <v>0.09999999999999432</v>
      </c>
      <c r="J725" s="214">
        <f t="shared" si="118"/>
        <v>99.90662931839402</v>
      </c>
      <c r="K725" s="7"/>
      <c r="L725" s="7"/>
      <c r="M725" s="7"/>
    </row>
    <row r="726" spans="1:13" s="5" customFormat="1" ht="33.75">
      <c r="A726" s="215" t="s">
        <v>108</v>
      </c>
      <c r="B726" s="212" t="s">
        <v>665</v>
      </c>
      <c r="C726" s="216" t="s">
        <v>72</v>
      </c>
      <c r="D726" s="213" t="s">
        <v>67</v>
      </c>
      <c r="E726" s="216" t="s">
        <v>109</v>
      </c>
      <c r="F726" s="210"/>
      <c r="G726" s="214">
        <f t="shared" si="119"/>
        <v>107.1</v>
      </c>
      <c r="H726" s="214">
        <f t="shared" si="119"/>
        <v>107</v>
      </c>
      <c r="I726" s="214">
        <f t="shared" si="116"/>
        <v>0.09999999999999432</v>
      </c>
      <c r="J726" s="214">
        <f t="shared" si="118"/>
        <v>99.90662931839402</v>
      </c>
      <c r="K726" s="7"/>
      <c r="L726" s="7"/>
      <c r="M726" s="7"/>
    </row>
    <row r="727" spans="1:13" s="5" customFormat="1" ht="33.75">
      <c r="A727" s="215" t="s">
        <v>587</v>
      </c>
      <c r="B727" s="212" t="s">
        <v>665</v>
      </c>
      <c r="C727" s="216" t="s">
        <v>72</v>
      </c>
      <c r="D727" s="213" t="s">
        <v>67</v>
      </c>
      <c r="E727" s="216" t="s">
        <v>109</v>
      </c>
      <c r="F727" s="210">
        <v>727</v>
      </c>
      <c r="G727" s="214">
        <f>150-27.7-15.2</f>
        <v>107.1</v>
      </c>
      <c r="H727" s="214">
        <v>107</v>
      </c>
      <c r="I727" s="214">
        <f t="shared" si="116"/>
        <v>0.09999999999999432</v>
      </c>
      <c r="J727" s="214">
        <f t="shared" si="118"/>
        <v>99.90662931839402</v>
      </c>
      <c r="K727" s="7"/>
      <c r="L727" s="7"/>
      <c r="M727" s="7"/>
    </row>
    <row r="728" spans="1:13" s="5" customFormat="1" ht="12.75">
      <c r="A728" s="215" t="s">
        <v>137</v>
      </c>
      <c r="B728" s="212" t="s">
        <v>665</v>
      </c>
      <c r="C728" s="216" t="s">
        <v>72</v>
      </c>
      <c r="D728" s="213" t="s">
        <v>67</v>
      </c>
      <c r="E728" s="216" t="s">
        <v>138</v>
      </c>
      <c r="F728" s="210"/>
      <c r="G728" s="214">
        <f>G729</f>
        <v>197.3</v>
      </c>
      <c r="H728" s="214">
        <f>H729</f>
        <v>197.3</v>
      </c>
      <c r="I728" s="214">
        <f t="shared" si="116"/>
        <v>0</v>
      </c>
      <c r="J728" s="214">
        <f t="shared" si="118"/>
        <v>100</v>
      </c>
      <c r="K728" s="7"/>
      <c r="L728" s="7"/>
      <c r="M728" s="7"/>
    </row>
    <row r="729" spans="1:13" s="5" customFormat="1" ht="47.25" customHeight="1">
      <c r="A729" s="215" t="s">
        <v>182</v>
      </c>
      <c r="B729" s="212" t="s">
        <v>665</v>
      </c>
      <c r="C729" s="216" t="s">
        <v>72</v>
      </c>
      <c r="D729" s="213" t="s">
        <v>67</v>
      </c>
      <c r="E729" s="216" t="s">
        <v>139</v>
      </c>
      <c r="F729" s="210"/>
      <c r="G729" s="214">
        <f>G730</f>
        <v>197.3</v>
      </c>
      <c r="H729" s="214">
        <f>H730</f>
        <v>197.3</v>
      </c>
      <c r="I729" s="214">
        <f t="shared" si="116"/>
        <v>0</v>
      </c>
      <c r="J729" s="214">
        <f t="shared" si="118"/>
        <v>100</v>
      </c>
      <c r="K729" s="7"/>
      <c r="L729" s="7"/>
      <c r="M729" s="7"/>
    </row>
    <row r="730" spans="1:13" s="5" customFormat="1" ht="33.75">
      <c r="A730" s="215" t="s">
        <v>587</v>
      </c>
      <c r="B730" s="212" t="s">
        <v>665</v>
      </c>
      <c r="C730" s="216" t="s">
        <v>72</v>
      </c>
      <c r="D730" s="213" t="s">
        <v>67</v>
      </c>
      <c r="E730" s="216" t="s">
        <v>139</v>
      </c>
      <c r="F730" s="210">
        <v>727</v>
      </c>
      <c r="G730" s="214">
        <f>150+47.3</f>
        <v>197.3</v>
      </c>
      <c r="H730" s="214">
        <v>197.3</v>
      </c>
      <c r="I730" s="214">
        <f t="shared" si="116"/>
        <v>0</v>
      </c>
      <c r="J730" s="214">
        <f t="shared" si="118"/>
        <v>100</v>
      </c>
      <c r="K730" s="7"/>
      <c r="L730" s="7"/>
      <c r="M730" s="7"/>
    </row>
    <row r="731" spans="1:13" s="113" customFormat="1" ht="45" customHeight="1">
      <c r="A731" s="222" t="s">
        <v>885</v>
      </c>
      <c r="B731" s="223" t="s">
        <v>685</v>
      </c>
      <c r="C731" s="217"/>
      <c r="D731" s="209"/>
      <c r="E731" s="217"/>
      <c r="F731" s="201"/>
      <c r="G731" s="208">
        <f>G732</f>
        <v>445</v>
      </c>
      <c r="H731" s="208">
        <f>H732</f>
        <v>445</v>
      </c>
      <c r="I731" s="208">
        <f t="shared" si="116"/>
        <v>0</v>
      </c>
      <c r="J731" s="208">
        <f t="shared" si="118"/>
        <v>100</v>
      </c>
      <c r="K731" s="58"/>
      <c r="L731" s="58"/>
      <c r="M731" s="58"/>
    </row>
    <row r="732" spans="1:13" s="113" customFormat="1" ht="45" customHeight="1">
      <c r="A732" s="222" t="s">
        <v>686</v>
      </c>
      <c r="B732" s="223" t="s">
        <v>687</v>
      </c>
      <c r="C732" s="217"/>
      <c r="D732" s="209"/>
      <c r="E732" s="217"/>
      <c r="F732" s="201"/>
      <c r="G732" s="208">
        <f>G733+G740</f>
        <v>445</v>
      </c>
      <c r="H732" s="208">
        <f>H733+H740</f>
        <v>445</v>
      </c>
      <c r="I732" s="208">
        <f t="shared" si="116"/>
        <v>0</v>
      </c>
      <c r="J732" s="208">
        <f t="shared" si="118"/>
        <v>100</v>
      </c>
      <c r="K732" s="58"/>
      <c r="L732" s="58"/>
      <c r="M732" s="58"/>
    </row>
    <row r="733" spans="1:13" s="113" customFormat="1" ht="54.75" customHeight="1">
      <c r="A733" s="222" t="s">
        <v>688</v>
      </c>
      <c r="B733" s="223" t="s">
        <v>689</v>
      </c>
      <c r="C733" s="217"/>
      <c r="D733" s="209"/>
      <c r="E733" s="217"/>
      <c r="F733" s="201"/>
      <c r="G733" s="208">
        <f aca="true" t="shared" si="120" ref="G733:H738">G734</f>
        <v>429</v>
      </c>
      <c r="H733" s="208">
        <f t="shared" si="120"/>
        <v>429</v>
      </c>
      <c r="I733" s="208">
        <f t="shared" si="116"/>
        <v>0</v>
      </c>
      <c r="J733" s="208">
        <f t="shared" si="118"/>
        <v>100</v>
      </c>
      <c r="K733" s="58"/>
      <c r="L733" s="58"/>
      <c r="M733" s="58"/>
    </row>
    <row r="734" spans="1:13" s="5" customFormat="1" ht="12.75">
      <c r="A734" s="222" t="s">
        <v>247</v>
      </c>
      <c r="B734" s="223" t="s">
        <v>689</v>
      </c>
      <c r="C734" s="217" t="s">
        <v>68</v>
      </c>
      <c r="D734" s="209" t="s">
        <v>36</v>
      </c>
      <c r="E734" s="217"/>
      <c r="F734" s="201"/>
      <c r="G734" s="208">
        <f t="shared" si="120"/>
        <v>429</v>
      </c>
      <c r="H734" s="208">
        <f t="shared" si="120"/>
        <v>429</v>
      </c>
      <c r="I734" s="208">
        <f t="shared" si="116"/>
        <v>0</v>
      </c>
      <c r="J734" s="208">
        <f t="shared" si="118"/>
        <v>100</v>
      </c>
      <c r="K734" s="7"/>
      <c r="L734" s="7"/>
      <c r="M734" s="7"/>
    </row>
    <row r="735" spans="1:13" s="5" customFormat="1" ht="12.75">
      <c r="A735" s="221" t="s">
        <v>579</v>
      </c>
      <c r="B735" s="225" t="s">
        <v>689</v>
      </c>
      <c r="C735" s="216" t="s">
        <v>68</v>
      </c>
      <c r="D735" s="213" t="s">
        <v>76</v>
      </c>
      <c r="E735" s="216"/>
      <c r="F735" s="210"/>
      <c r="G735" s="214">
        <f t="shared" si="120"/>
        <v>429</v>
      </c>
      <c r="H735" s="214">
        <f t="shared" si="120"/>
        <v>429</v>
      </c>
      <c r="I735" s="214">
        <f t="shared" si="116"/>
        <v>0</v>
      </c>
      <c r="J735" s="214">
        <f t="shared" si="118"/>
        <v>100</v>
      </c>
      <c r="K735" s="7"/>
      <c r="L735" s="7"/>
      <c r="M735" s="7"/>
    </row>
    <row r="736" spans="1:13" s="5" customFormat="1" ht="22.5">
      <c r="A736" s="215" t="s">
        <v>770</v>
      </c>
      <c r="B736" s="225" t="s">
        <v>689</v>
      </c>
      <c r="C736" s="216" t="s">
        <v>68</v>
      </c>
      <c r="D736" s="213" t="s">
        <v>76</v>
      </c>
      <c r="E736" s="216" t="s">
        <v>113</v>
      </c>
      <c r="F736" s="210"/>
      <c r="G736" s="214">
        <f t="shared" si="120"/>
        <v>429</v>
      </c>
      <c r="H736" s="214">
        <f t="shared" si="120"/>
        <v>429</v>
      </c>
      <c r="I736" s="214">
        <f t="shared" si="116"/>
        <v>0</v>
      </c>
      <c r="J736" s="214">
        <f t="shared" si="118"/>
        <v>100</v>
      </c>
      <c r="K736" s="7"/>
      <c r="L736" s="7"/>
      <c r="M736" s="7"/>
    </row>
    <row r="737" spans="1:13" s="5" customFormat="1" ht="25.5" customHeight="1">
      <c r="A737" s="221" t="s">
        <v>106</v>
      </c>
      <c r="B737" s="225" t="s">
        <v>689</v>
      </c>
      <c r="C737" s="216" t="s">
        <v>68</v>
      </c>
      <c r="D737" s="213" t="s">
        <v>76</v>
      </c>
      <c r="E737" s="216" t="s">
        <v>107</v>
      </c>
      <c r="F737" s="210"/>
      <c r="G737" s="214">
        <f t="shared" si="120"/>
        <v>429</v>
      </c>
      <c r="H737" s="214">
        <f t="shared" si="120"/>
        <v>429</v>
      </c>
      <c r="I737" s="214">
        <f t="shared" si="116"/>
        <v>0</v>
      </c>
      <c r="J737" s="214">
        <f t="shared" si="118"/>
        <v>100</v>
      </c>
      <c r="K737" s="7"/>
      <c r="L737" s="7"/>
      <c r="M737" s="7"/>
    </row>
    <row r="738" spans="1:13" s="5" customFormat="1" ht="33.75">
      <c r="A738" s="221" t="s">
        <v>108</v>
      </c>
      <c r="B738" s="225" t="s">
        <v>689</v>
      </c>
      <c r="C738" s="216" t="s">
        <v>68</v>
      </c>
      <c r="D738" s="213" t="s">
        <v>76</v>
      </c>
      <c r="E738" s="216" t="s">
        <v>109</v>
      </c>
      <c r="F738" s="210"/>
      <c r="G738" s="214">
        <f t="shared" si="120"/>
        <v>429</v>
      </c>
      <c r="H738" s="214">
        <f t="shared" si="120"/>
        <v>429</v>
      </c>
      <c r="I738" s="214">
        <f t="shared" si="116"/>
        <v>0</v>
      </c>
      <c r="J738" s="214">
        <f t="shared" si="118"/>
        <v>100</v>
      </c>
      <c r="K738" s="7"/>
      <c r="L738" s="7"/>
      <c r="M738" s="7"/>
    </row>
    <row r="739" spans="1:13" s="5" customFormat="1" ht="33.75">
      <c r="A739" s="215" t="s">
        <v>587</v>
      </c>
      <c r="B739" s="225" t="s">
        <v>689</v>
      </c>
      <c r="C739" s="216" t="s">
        <v>68</v>
      </c>
      <c r="D739" s="213" t="s">
        <v>76</v>
      </c>
      <c r="E739" s="216" t="s">
        <v>109</v>
      </c>
      <c r="F739" s="210">
        <v>727</v>
      </c>
      <c r="G739" s="214">
        <f>540-111</f>
        <v>429</v>
      </c>
      <c r="H739" s="214">
        <v>429</v>
      </c>
      <c r="I739" s="214">
        <f t="shared" si="116"/>
        <v>0</v>
      </c>
      <c r="J739" s="214">
        <f t="shared" si="118"/>
        <v>100</v>
      </c>
      <c r="K739" s="7"/>
      <c r="L739" s="7"/>
      <c r="M739" s="7"/>
    </row>
    <row r="740" spans="1:13" s="113" customFormat="1" ht="45.75" customHeight="1">
      <c r="A740" s="222" t="s">
        <v>690</v>
      </c>
      <c r="B740" s="223" t="s">
        <v>691</v>
      </c>
      <c r="C740" s="217"/>
      <c r="D740" s="209"/>
      <c r="E740" s="217"/>
      <c r="F740" s="201"/>
      <c r="G740" s="208">
        <f aca="true" t="shared" si="121" ref="G740:H745">G741</f>
        <v>16</v>
      </c>
      <c r="H740" s="208">
        <f t="shared" si="121"/>
        <v>16</v>
      </c>
      <c r="I740" s="208">
        <f t="shared" si="116"/>
        <v>0</v>
      </c>
      <c r="J740" s="208">
        <f t="shared" si="118"/>
        <v>100</v>
      </c>
      <c r="K740" s="58"/>
      <c r="L740" s="58"/>
      <c r="M740" s="58"/>
    </row>
    <row r="741" spans="1:13" s="113" customFormat="1" ht="12.75">
      <c r="A741" s="222" t="s">
        <v>247</v>
      </c>
      <c r="B741" s="223" t="s">
        <v>691</v>
      </c>
      <c r="C741" s="217" t="s">
        <v>68</v>
      </c>
      <c r="D741" s="209" t="s">
        <v>36</v>
      </c>
      <c r="E741" s="217"/>
      <c r="F741" s="201"/>
      <c r="G741" s="208">
        <f t="shared" si="121"/>
        <v>16</v>
      </c>
      <c r="H741" s="208">
        <f t="shared" si="121"/>
        <v>16</v>
      </c>
      <c r="I741" s="208">
        <f t="shared" si="116"/>
        <v>0</v>
      </c>
      <c r="J741" s="208">
        <f t="shared" si="118"/>
        <v>100</v>
      </c>
      <c r="K741" s="58"/>
      <c r="L741" s="58"/>
      <c r="M741" s="58"/>
    </row>
    <row r="742" spans="1:13" s="113" customFormat="1" ht="12.75">
      <c r="A742" s="221" t="s">
        <v>579</v>
      </c>
      <c r="B742" s="225" t="s">
        <v>691</v>
      </c>
      <c r="C742" s="216" t="s">
        <v>68</v>
      </c>
      <c r="D742" s="213" t="s">
        <v>76</v>
      </c>
      <c r="E742" s="217"/>
      <c r="F742" s="201"/>
      <c r="G742" s="214">
        <f t="shared" si="121"/>
        <v>16</v>
      </c>
      <c r="H742" s="214">
        <f t="shared" si="121"/>
        <v>16</v>
      </c>
      <c r="I742" s="214">
        <f t="shared" si="116"/>
        <v>0</v>
      </c>
      <c r="J742" s="214">
        <f t="shared" si="118"/>
        <v>100</v>
      </c>
      <c r="K742" s="58"/>
      <c r="L742" s="58"/>
      <c r="M742" s="58"/>
    </row>
    <row r="743" spans="1:13" s="5" customFormat="1" ht="22.5">
      <c r="A743" s="215" t="s">
        <v>770</v>
      </c>
      <c r="B743" s="225" t="s">
        <v>691</v>
      </c>
      <c r="C743" s="216" t="s">
        <v>68</v>
      </c>
      <c r="D743" s="213" t="s">
        <v>76</v>
      </c>
      <c r="E743" s="216" t="s">
        <v>113</v>
      </c>
      <c r="F743" s="210"/>
      <c r="G743" s="214">
        <f t="shared" si="121"/>
        <v>16</v>
      </c>
      <c r="H743" s="214">
        <f t="shared" si="121"/>
        <v>16</v>
      </c>
      <c r="I743" s="214">
        <f t="shared" si="116"/>
        <v>0</v>
      </c>
      <c r="J743" s="214">
        <f t="shared" si="118"/>
        <v>100</v>
      </c>
      <c r="K743" s="7"/>
      <c r="L743" s="7"/>
      <c r="M743" s="7"/>
    </row>
    <row r="744" spans="1:13" s="5" customFormat="1" ht="33.75" customHeight="1">
      <c r="A744" s="221" t="s">
        <v>106</v>
      </c>
      <c r="B744" s="225" t="s">
        <v>691</v>
      </c>
      <c r="C744" s="216" t="s">
        <v>68</v>
      </c>
      <c r="D744" s="213" t="s">
        <v>76</v>
      </c>
      <c r="E744" s="216" t="s">
        <v>107</v>
      </c>
      <c r="F744" s="210"/>
      <c r="G744" s="214">
        <f t="shared" si="121"/>
        <v>16</v>
      </c>
      <c r="H744" s="214">
        <f t="shared" si="121"/>
        <v>16</v>
      </c>
      <c r="I744" s="214">
        <f t="shared" si="116"/>
        <v>0</v>
      </c>
      <c r="J744" s="214">
        <f t="shared" si="118"/>
        <v>100</v>
      </c>
      <c r="K744" s="7"/>
      <c r="L744" s="7"/>
      <c r="M744" s="7"/>
    </row>
    <row r="745" spans="1:13" s="5" customFormat="1" ht="33.75">
      <c r="A745" s="221" t="s">
        <v>108</v>
      </c>
      <c r="B745" s="225" t="s">
        <v>691</v>
      </c>
      <c r="C745" s="216" t="s">
        <v>68</v>
      </c>
      <c r="D745" s="213" t="s">
        <v>76</v>
      </c>
      <c r="E745" s="216" t="s">
        <v>109</v>
      </c>
      <c r="F745" s="210"/>
      <c r="G745" s="214">
        <f t="shared" si="121"/>
        <v>16</v>
      </c>
      <c r="H745" s="214">
        <f t="shared" si="121"/>
        <v>16</v>
      </c>
      <c r="I745" s="214">
        <f t="shared" si="116"/>
        <v>0</v>
      </c>
      <c r="J745" s="214">
        <f t="shared" si="118"/>
        <v>100</v>
      </c>
      <c r="K745" s="7"/>
      <c r="L745" s="7"/>
      <c r="M745" s="7"/>
    </row>
    <row r="746" spans="1:13" s="5" customFormat="1" ht="33.75">
      <c r="A746" s="215" t="s">
        <v>587</v>
      </c>
      <c r="B746" s="225" t="s">
        <v>691</v>
      </c>
      <c r="C746" s="216" t="s">
        <v>68</v>
      </c>
      <c r="D746" s="213" t="s">
        <v>76</v>
      </c>
      <c r="E746" s="216" t="s">
        <v>109</v>
      </c>
      <c r="F746" s="210">
        <v>727</v>
      </c>
      <c r="G746" s="214">
        <v>16</v>
      </c>
      <c r="H746" s="214">
        <v>16</v>
      </c>
      <c r="I746" s="214">
        <f t="shared" si="116"/>
        <v>0</v>
      </c>
      <c r="J746" s="214">
        <f t="shared" si="118"/>
        <v>100</v>
      </c>
      <c r="K746" s="7"/>
      <c r="L746" s="7"/>
      <c r="M746" s="7"/>
    </row>
    <row r="747" spans="1:11" ht="18.75" customHeight="1">
      <c r="A747" s="207" t="s">
        <v>77</v>
      </c>
      <c r="B747" s="201"/>
      <c r="C747" s="201"/>
      <c r="D747" s="201"/>
      <c r="E747" s="201"/>
      <c r="F747" s="201"/>
      <c r="G747" s="208">
        <f>G9+G17+G43+G85+G126+G142+G157+G170+G228+G251+G267+G297+G306+G341+G355+G363+G464+G502+G511+G577+G555+G586+G618+G663+G677+G686+G709+G731</f>
        <v>76632.2</v>
      </c>
      <c r="H747" s="208">
        <f>H9+H17+H43+H85+H126+H142+H157+H170+H228+H251+H267+H297+H306+H341+H355+H363+H464+H502+H511+H577+H555+H586+H618+H663+H677+H686+H709+H731</f>
        <v>73124.4</v>
      </c>
      <c r="I747" s="208">
        <f t="shared" si="116"/>
        <v>3507.800000000003</v>
      </c>
      <c r="J747" s="208">
        <f t="shared" si="118"/>
        <v>95.42255083372262</v>
      </c>
      <c r="K747" s="180"/>
    </row>
    <row r="748" spans="1:10" ht="12.75">
      <c r="A748" s="239"/>
      <c r="B748" s="240"/>
      <c r="C748" s="240"/>
      <c r="D748" s="240"/>
      <c r="E748" s="240"/>
      <c r="F748" s="240"/>
      <c r="G748" s="241"/>
      <c r="H748" s="241"/>
      <c r="I748" s="241"/>
      <c r="J748" s="241"/>
    </row>
    <row r="749" spans="1:10" ht="12.75">
      <c r="A749" s="242"/>
      <c r="B749" s="240"/>
      <c r="C749" s="240"/>
      <c r="D749" s="240"/>
      <c r="E749" s="240"/>
      <c r="F749" s="240"/>
      <c r="G749" s="243"/>
      <c r="H749" s="243"/>
      <c r="I749" s="243"/>
      <c r="J749" s="243"/>
    </row>
    <row r="750" spans="1:10" ht="12.75">
      <c r="A750" s="244"/>
      <c r="B750" s="240"/>
      <c r="C750" s="240"/>
      <c r="D750" s="240"/>
      <c r="E750" s="240"/>
      <c r="F750" s="240"/>
      <c r="G750" s="243"/>
      <c r="H750" s="243"/>
      <c r="I750" s="243"/>
      <c r="J750" s="243"/>
    </row>
    <row r="751" spans="1:10" ht="12.75">
      <c r="A751" s="245"/>
      <c r="B751" s="240"/>
      <c r="C751" s="240"/>
      <c r="D751" s="240"/>
      <c r="E751" s="240"/>
      <c r="F751" s="240"/>
      <c r="G751" s="243"/>
      <c r="H751" s="243"/>
      <c r="I751" s="243"/>
      <c r="J751" s="243"/>
    </row>
    <row r="752" spans="1:10" ht="12.75">
      <c r="A752" s="245"/>
      <c r="B752" s="240"/>
      <c r="C752" s="240"/>
      <c r="D752" s="240"/>
      <c r="E752" s="240"/>
      <c r="F752" s="240"/>
      <c r="G752" s="243"/>
      <c r="H752" s="243"/>
      <c r="I752" s="243"/>
      <c r="J752" s="243"/>
    </row>
    <row r="753" spans="1:10" ht="12.75">
      <c r="A753" s="246"/>
      <c r="B753" s="240"/>
      <c r="C753" s="240"/>
      <c r="D753" s="240"/>
      <c r="E753" s="240"/>
      <c r="F753" s="240"/>
      <c r="G753" s="243"/>
      <c r="H753" s="243"/>
      <c r="I753" s="243"/>
      <c r="J753" s="243"/>
    </row>
    <row r="754" spans="1:10" ht="12.75">
      <c r="A754" s="186"/>
      <c r="B754" s="187"/>
      <c r="C754" s="187"/>
      <c r="D754" s="187"/>
      <c r="E754" s="187"/>
      <c r="F754" s="187"/>
      <c r="G754" s="188"/>
      <c r="H754" s="188"/>
      <c r="I754" s="188"/>
      <c r="J754" s="188"/>
    </row>
  </sheetData>
  <sheetProtection/>
  <mergeCells count="5">
    <mergeCell ref="A1:J1"/>
    <mergeCell ref="A2:J2"/>
    <mergeCell ref="A3:J3"/>
    <mergeCell ref="A4:J4"/>
    <mergeCell ref="A5:J5"/>
  </mergeCells>
  <printOptions/>
  <pageMargins left="0.7" right="0.24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B19" sqref="B19"/>
    </sheetView>
  </sheetViews>
  <sheetFormatPr defaultColWidth="9.25390625" defaultRowHeight="12.75"/>
  <cols>
    <col min="1" max="1" width="21.75390625" style="5" customWidth="1"/>
    <col min="2" max="2" width="73.75390625" style="5" customWidth="1"/>
    <col min="3" max="3" width="11.25390625" style="5" customWidth="1"/>
    <col min="4" max="6" width="9.25390625" style="5" customWidth="1"/>
    <col min="7" max="16384" width="9.25390625" style="5" customWidth="1"/>
  </cols>
  <sheetData>
    <row r="1" spans="1:6" s="23" customFormat="1" ht="12.75">
      <c r="A1" s="267" t="s">
        <v>806</v>
      </c>
      <c r="B1" s="267"/>
      <c r="C1" s="267"/>
      <c r="D1" s="267"/>
      <c r="E1" s="267"/>
      <c r="F1" s="248"/>
    </row>
    <row r="2" spans="1:6" ht="12.75">
      <c r="A2" s="268" t="s">
        <v>175</v>
      </c>
      <c r="B2" s="268"/>
      <c r="C2" s="268"/>
      <c r="D2" s="268"/>
      <c r="E2" s="268"/>
      <c r="F2" s="248"/>
    </row>
    <row r="3" spans="1:6" ht="12.75">
      <c r="A3" s="270" t="str">
        <f>'пр.2 РзПз'!A3:G3</f>
        <v>"Об исполнении бюджета муиципального образования "Сусуманский городской округ" на 2016 год</v>
      </c>
      <c r="B3" s="271"/>
      <c r="C3" s="271"/>
      <c r="D3" s="271"/>
      <c r="E3" s="271"/>
      <c r="F3" s="271"/>
    </row>
    <row r="4" spans="1:6" ht="12.75">
      <c r="A4" s="268" t="str">
        <f>'пр.3 РзПзЦС ВР'!A4</f>
        <v>от 19.05.2017 г. № 192</v>
      </c>
      <c r="B4" s="268"/>
      <c r="C4" s="268"/>
      <c r="D4" s="268"/>
      <c r="E4" s="268"/>
      <c r="F4" s="248"/>
    </row>
    <row r="5" spans="1:5" ht="12.75">
      <c r="A5" s="59"/>
      <c r="B5" s="59"/>
      <c r="C5" s="59"/>
      <c r="D5" s="59"/>
      <c r="E5" s="59"/>
    </row>
    <row r="6" spans="1:6" ht="41.25" customHeight="1">
      <c r="A6" s="269" t="s">
        <v>784</v>
      </c>
      <c r="B6" s="269"/>
      <c r="C6" s="269"/>
      <c r="D6" s="269"/>
      <c r="E6" s="269"/>
      <c r="F6" s="248"/>
    </row>
    <row r="7" ht="12.75">
      <c r="F7" s="5" t="s">
        <v>1</v>
      </c>
    </row>
    <row r="8" spans="1:6" ht="48">
      <c r="A8" s="21" t="s">
        <v>31</v>
      </c>
      <c r="B8" s="21" t="s">
        <v>32</v>
      </c>
      <c r="C8" s="94" t="s">
        <v>774</v>
      </c>
      <c r="D8" s="95" t="s">
        <v>775</v>
      </c>
      <c r="E8" s="95" t="s">
        <v>785</v>
      </c>
      <c r="F8" s="16" t="s">
        <v>781</v>
      </c>
    </row>
    <row r="9" spans="1:6" ht="11.25" customHeight="1">
      <c r="A9" s="96">
        <v>1</v>
      </c>
      <c r="B9" s="96">
        <v>2</v>
      </c>
      <c r="C9" s="96">
        <v>3</v>
      </c>
      <c r="D9" s="76">
        <v>5</v>
      </c>
      <c r="E9" s="76">
        <v>5</v>
      </c>
      <c r="F9" s="76">
        <v>6</v>
      </c>
    </row>
    <row r="10" spans="1:6" ht="14.25" customHeight="1">
      <c r="A10" s="16" t="s">
        <v>24</v>
      </c>
      <c r="B10" s="20" t="s">
        <v>53</v>
      </c>
      <c r="C10" s="78">
        <f>C11+C24+C16+C33</f>
        <v>40845.30000000005</v>
      </c>
      <c r="D10" s="78">
        <f>D11+D24+D16+D33</f>
        <v>27342</v>
      </c>
      <c r="E10" s="78">
        <f aca="true" t="shared" si="0" ref="E10:E15">C10-D10</f>
        <v>13503.300000000047</v>
      </c>
      <c r="F10" s="89">
        <f>D10/C10*100</f>
        <v>66.94038236957488</v>
      </c>
    </row>
    <row r="11" spans="1:6" ht="12.75">
      <c r="A11" s="31" t="s">
        <v>25</v>
      </c>
      <c r="B11" s="20" t="s">
        <v>52</v>
      </c>
      <c r="C11" s="78">
        <f>C12-C14</f>
        <v>0</v>
      </c>
      <c r="D11" s="78">
        <f>D12-D14</f>
        <v>0</v>
      </c>
      <c r="E11" s="78">
        <f t="shared" si="0"/>
        <v>0</v>
      </c>
      <c r="F11" s="89"/>
    </row>
    <row r="12" spans="1:6" ht="12.75">
      <c r="A12" s="31" t="s">
        <v>26</v>
      </c>
      <c r="B12" s="19" t="s">
        <v>54</v>
      </c>
      <c r="C12" s="81">
        <f>C13</f>
        <v>0</v>
      </c>
      <c r="D12" s="81">
        <f>D13</f>
        <v>0</v>
      </c>
      <c r="E12" s="81">
        <f t="shared" si="0"/>
        <v>0</v>
      </c>
      <c r="F12" s="89"/>
    </row>
    <row r="13" spans="1:6" ht="25.5">
      <c r="A13" s="47" t="s">
        <v>411</v>
      </c>
      <c r="B13" s="25" t="s">
        <v>412</v>
      </c>
      <c r="C13" s="81">
        <v>0</v>
      </c>
      <c r="D13" s="81">
        <v>0</v>
      </c>
      <c r="E13" s="81">
        <f t="shared" si="0"/>
        <v>0</v>
      </c>
      <c r="F13" s="89"/>
    </row>
    <row r="14" spans="1:6" ht="25.5">
      <c r="A14" s="31" t="s">
        <v>27</v>
      </c>
      <c r="B14" s="19" t="s">
        <v>49</v>
      </c>
      <c r="C14" s="81">
        <f>C15</f>
        <v>0</v>
      </c>
      <c r="D14" s="81">
        <f>D15</f>
        <v>0</v>
      </c>
      <c r="E14" s="81">
        <f t="shared" si="0"/>
        <v>0</v>
      </c>
      <c r="F14" s="89"/>
    </row>
    <row r="15" spans="1:6" ht="25.5">
      <c r="A15" s="47" t="s">
        <v>413</v>
      </c>
      <c r="B15" s="25" t="s">
        <v>414</v>
      </c>
      <c r="C15" s="81">
        <v>0</v>
      </c>
      <c r="D15" s="81">
        <v>0</v>
      </c>
      <c r="E15" s="81">
        <f t="shared" si="0"/>
        <v>0</v>
      </c>
      <c r="F15" s="89"/>
    </row>
    <row r="16" spans="1:6" ht="17.25" customHeight="1">
      <c r="A16" s="16" t="s">
        <v>28</v>
      </c>
      <c r="B16" s="20" t="s">
        <v>98</v>
      </c>
      <c r="C16" s="78">
        <f>C18+C21</f>
        <v>15700</v>
      </c>
      <c r="D16" s="78">
        <f>D18+D21</f>
        <v>15700</v>
      </c>
      <c r="E16" s="78">
        <f aca="true" t="shared" si="1" ref="E16:E36">C16-D16</f>
        <v>0</v>
      </c>
      <c r="F16" s="89">
        <f>D16/C16*100</f>
        <v>100</v>
      </c>
    </row>
    <row r="17" spans="1:6" ht="25.5">
      <c r="A17" s="45" t="s">
        <v>429</v>
      </c>
      <c r="B17" s="48" t="s">
        <v>430</v>
      </c>
      <c r="C17" s="78">
        <f>C18+C21</f>
        <v>15700</v>
      </c>
      <c r="D17" s="78">
        <f>D18+D21</f>
        <v>15700</v>
      </c>
      <c r="E17" s="78">
        <f t="shared" si="1"/>
        <v>0</v>
      </c>
      <c r="F17" s="89">
        <f>D17/C17*100</f>
        <v>100</v>
      </c>
    </row>
    <row r="18" spans="1:6" ht="25.5">
      <c r="A18" s="31" t="s">
        <v>154</v>
      </c>
      <c r="B18" s="19" t="s">
        <v>55</v>
      </c>
      <c r="C18" s="81">
        <f>C19</f>
        <v>20000</v>
      </c>
      <c r="D18" s="81">
        <f>D19</f>
        <v>20000</v>
      </c>
      <c r="E18" s="81">
        <f t="shared" si="1"/>
        <v>0</v>
      </c>
      <c r="F18" s="90">
        <f>D18/C18*100</f>
        <v>100</v>
      </c>
    </row>
    <row r="19" spans="1:6" ht="28.5" customHeight="1">
      <c r="A19" s="47" t="s">
        <v>417</v>
      </c>
      <c r="B19" s="46" t="s">
        <v>418</v>
      </c>
      <c r="C19" s="81">
        <f>C20</f>
        <v>20000</v>
      </c>
      <c r="D19" s="81">
        <f>D20</f>
        <v>20000</v>
      </c>
      <c r="E19" s="81">
        <f t="shared" si="1"/>
        <v>0</v>
      </c>
      <c r="F19" s="90">
        <f aca="true" t="shared" si="2" ref="F19:F36">D19/C19*100</f>
        <v>100</v>
      </c>
    </row>
    <row r="20" spans="1:6" ht="38.25">
      <c r="A20" s="47" t="s">
        <v>415</v>
      </c>
      <c r="B20" s="46" t="s">
        <v>416</v>
      </c>
      <c r="C20" s="81">
        <v>20000</v>
      </c>
      <c r="D20" s="81">
        <v>20000</v>
      </c>
      <c r="E20" s="81">
        <f t="shared" si="1"/>
        <v>0</v>
      </c>
      <c r="F20" s="90">
        <f t="shared" si="2"/>
        <v>100</v>
      </c>
    </row>
    <row r="21" spans="1:6" ht="25.5">
      <c r="A21" s="31" t="s">
        <v>153</v>
      </c>
      <c r="B21" s="19" t="s">
        <v>56</v>
      </c>
      <c r="C21" s="81">
        <f>C22</f>
        <v>-4300</v>
      </c>
      <c r="D21" s="81">
        <f>D22</f>
        <v>-4300</v>
      </c>
      <c r="E21" s="81">
        <f t="shared" si="1"/>
        <v>0</v>
      </c>
      <c r="F21" s="90">
        <f t="shared" si="2"/>
        <v>100</v>
      </c>
    </row>
    <row r="22" spans="1:6" ht="31.5" customHeight="1">
      <c r="A22" s="47" t="s">
        <v>422</v>
      </c>
      <c r="B22" s="46" t="s">
        <v>421</v>
      </c>
      <c r="C22" s="81">
        <f>C23</f>
        <v>-4300</v>
      </c>
      <c r="D22" s="81">
        <f>D23</f>
        <v>-4300</v>
      </c>
      <c r="E22" s="81">
        <f t="shared" si="1"/>
        <v>0</v>
      </c>
      <c r="F22" s="90">
        <f t="shared" si="2"/>
        <v>100</v>
      </c>
    </row>
    <row r="23" spans="1:6" ht="40.5" customHeight="1">
      <c r="A23" s="47" t="s">
        <v>419</v>
      </c>
      <c r="B23" s="46" t="s">
        <v>420</v>
      </c>
      <c r="C23" s="81">
        <v>-4300</v>
      </c>
      <c r="D23" s="81">
        <v>-4300</v>
      </c>
      <c r="E23" s="81">
        <f t="shared" si="1"/>
        <v>0</v>
      </c>
      <c r="F23" s="90">
        <f t="shared" si="2"/>
        <v>100</v>
      </c>
    </row>
    <row r="24" spans="1:6" ht="12.75">
      <c r="A24" s="16" t="s">
        <v>38</v>
      </c>
      <c r="B24" s="20" t="s">
        <v>57</v>
      </c>
      <c r="C24" s="78">
        <f>C29+C25</f>
        <v>25125.300000000047</v>
      </c>
      <c r="D24" s="78">
        <f>D29+D25</f>
        <v>11642</v>
      </c>
      <c r="E24" s="78">
        <f>C24-D24</f>
        <v>13483.300000000047</v>
      </c>
      <c r="F24" s="89">
        <f>D24/C24*100</f>
        <v>46.33576514509271</v>
      </c>
    </row>
    <row r="25" spans="1:6" ht="12.75">
      <c r="A25" s="31" t="s">
        <v>39</v>
      </c>
      <c r="B25" s="19" t="s">
        <v>14</v>
      </c>
      <c r="C25" s="81">
        <f aca="true" t="shared" si="3" ref="C25:D27">C26</f>
        <v>-840065.5</v>
      </c>
      <c r="D25" s="81">
        <f t="shared" si="3"/>
        <v>-892053.6</v>
      </c>
      <c r="E25" s="81">
        <f t="shared" si="1"/>
        <v>51988.09999999998</v>
      </c>
      <c r="F25" s="90">
        <f t="shared" si="2"/>
        <v>106.18857696215353</v>
      </c>
    </row>
    <row r="26" spans="1:6" ht="12.75">
      <c r="A26" s="31" t="s">
        <v>40</v>
      </c>
      <c r="B26" s="19" t="s">
        <v>22</v>
      </c>
      <c r="C26" s="81">
        <f t="shared" si="3"/>
        <v>-840065.5</v>
      </c>
      <c r="D26" s="81">
        <f t="shared" si="3"/>
        <v>-892053.6</v>
      </c>
      <c r="E26" s="81">
        <f t="shared" si="1"/>
        <v>51988.09999999998</v>
      </c>
      <c r="F26" s="90">
        <f t="shared" si="2"/>
        <v>106.18857696215353</v>
      </c>
    </row>
    <row r="27" spans="1:6" ht="12.75">
      <c r="A27" s="31" t="s">
        <v>41</v>
      </c>
      <c r="B27" s="19" t="s">
        <v>23</v>
      </c>
      <c r="C27" s="81">
        <f t="shared" si="3"/>
        <v>-840065.5</v>
      </c>
      <c r="D27" s="81">
        <f t="shared" si="3"/>
        <v>-892053.6</v>
      </c>
      <c r="E27" s="81">
        <f t="shared" si="1"/>
        <v>51988.09999999998</v>
      </c>
      <c r="F27" s="90">
        <f t="shared" si="2"/>
        <v>106.18857696215353</v>
      </c>
    </row>
    <row r="28" spans="1:6" ht="12.75">
      <c r="A28" s="47" t="s">
        <v>423</v>
      </c>
      <c r="B28" s="25" t="s">
        <v>424</v>
      </c>
      <c r="C28" s="81">
        <f>-820045.5-C13-C19-C35</f>
        <v>-840065.5</v>
      </c>
      <c r="D28" s="81">
        <v>-892053.6</v>
      </c>
      <c r="E28" s="81">
        <f t="shared" si="1"/>
        <v>51988.09999999998</v>
      </c>
      <c r="F28" s="90">
        <f t="shared" si="2"/>
        <v>106.18857696215353</v>
      </c>
    </row>
    <row r="29" spans="1:6" ht="12.75">
      <c r="A29" s="31" t="s">
        <v>42</v>
      </c>
      <c r="B29" s="19" t="s">
        <v>33</v>
      </c>
      <c r="C29" s="81">
        <f aca="true" t="shared" si="4" ref="C29:D31">C30</f>
        <v>865190.8</v>
      </c>
      <c r="D29" s="81">
        <f t="shared" si="4"/>
        <v>903695.6</v>
      </c>
      <c r="E29" s="81">
        <f t="shared" si="1"/>
        <v>-38504.79999999993</v>
      </c>
      <c r="F29" s="90">
        <f t="shared" si="2"/>
        <v>104.45044029594396</v>
      </c>
    </row>
    <row r="30" spans="1:6" ht="12.75">
      <c r="A30" s="31" t="s">
        <v>43</v>
      </c>
      <c r="B30" s="19" t="s">
        <v>34</v>
      </c>
      <c r="C30" s="81">
        <f t="shared" si="4"/>
        <v>865190.8</v>
      </c>
      <c r="D30" s="81">
        <f t="shared" si="4"/>
        <v>903695.6</v>
      </c>
      <c r="E30" s="81">
        <f t="shared" si="1"/>
        <v>-38504.79999999993</v>
      </c>
      <c r="F30" s="90">
        <f t="shared" si="2"/>
        <v>104.45044029594396</v>
      </c>
    </row>
    <row r="31" spans="1:6" ht="12.75">
      <c r="A31" s="31" t="s">
        <v>155</v>
      </c>
      <c r="B31" s="19" t="s">
        <v>35</v>
      </c>
      <c r="C31" s="81">
        <f t="shared" si="4"/>
        <v>865190.8</v>
      </c>
      <c r="D31" s="81">
        <f t="shared" si="4"/>
        <v>903695.6</v>
      </c>
      <c r="E31" s="81">
        <f t="shared" si="1"/>
        <v>-38504.79999999993</v>
      </c>
      <c r="F31" s="90">
        <f t="shared" si="2"/>
        <v>104.45044029594396</v>
      </c>
    </row>
    <row r="32" spans="1:6" ht="12.75">
      <c r="A32" s="47" t="s">
        <v>425</v>
      </c>
      <c r="B32" s="9" t="s">
        <v>426</v>
      </c>
      <c r="C32" s="81">
        <v>865190.8</v>
      </c>
      <c r="D32" s="81">
        <v>903695.6</v>
      </c>
      <c r="E32" s="81">
        <f t="shared" si="1"/>
        <v>-38504.79999999993</v>
      </c>
      <c r="F32" s="90">
        <f t="shared" si="2"/>
        <v>104.45044029594396</v>
      </c>
    </row>
    <row r="33" spans="1:6" ht="15" customHeight="1">
      <c r="A33" s="16" t="s">
        <v>82</v>
      </c>
      <c r="B33" s="20" t="s">
        <v>91</v>
      </c>
      <c r="C33" s="78">
        <f>C34</f>
        <v>20</v>
      </c>
      <c r="D33" s="78">
        <f>D34</f>
        <v>0</v>
      </c>
      <c r="E33" s="78">
        <f>C33-D33</f>
        <v>20</v>
      </c>
      <c r="F33" s="89">
        <f>D33/C33*100</f>
        <v>0</v>
      </c>
    </row>
    <row r="34" spans="1:6" ht="26.25" customHeight="1">
      <c r="A34" s="31" t="s">
        <v>96</v>
      </c>
      <c r="B34" s="19" t="s">
        <v>97</v>
      </c>
      <c r="C34" s="81">
        <f>C36</f>
        <v>20</v>
      </c>
      <c r="D34" s="81">
        <f>D36</f>
        <v>0</v>
      </c>
      <c r="E34" s="81">
        <f t="shared" si="1"/>
        <v>20</v>
      </c>
      <c r="F34" s="90">
        <f t="shared" si="2"/>
        <v>0</v>
      </c>
    </row>
    <row r="35" spans="1:6" ht="27" customHeight="1">
      <c r="A35" s="31" t="s">
        <v>99</v>
      </c>
      <c r="B35" s="19" t="s">
        <v>100</v>
      </c>
      <c r="C35" s="81">
        <f>C36</f>
        <v>20</v>
      </c>
      <c r="D35" s="81">
        <f>D36</f>
        <v>0</v>
      </c>
      <c r="E35" s="81">
        <f t="shared" si="1"/>
        <v>20</v>
      </c>
      <c r="F35" s="90">
        <f t="shared" si="2"/>
        <v>0</v>
      </c>
    </row>
    <row r="36" spans="1:6" ht="25.5">
      <c r="A36" s="47" t="s">
        <v>427</v>
      </c>
      <c r="B36" s="9" t="s">
        <v>428</v>
      </c>
      <c r="C36" s="81">
        <v>20</v>
      </c>
      <c r="D36" s="81">
        <v>0</v>
      </c>
      <c r="E36" s="81">
        <f t="shared" si="1"/>
        <v>20</v>
      </c>
      <c r="F36" s="90">
        <f t="shared" si="2"/>
        <v>0</v>
      </c>
    </row>
    <row r="37" s="22" customFormat="1" ht="12.75"/>
    <row r="38" s="22" customFormat="1" ht="12.75"/>
  </sheetData>
  <sheetProtection/>
  <mergeCells count="5">
    <mergeCell ref="A1:F1"/>
    <mergeCell ref="A2:F2"/>
    <mergeCell ref="A4:F4"/>
    <mergeCell ref="A6:F6"/>
    <mergeCell ref="A3:F3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N9" sqref="N9"/>
    </sheetView>
  </sheetViews>
  <sheetFormatPr defaultColWidth="9.00390625" defaultRowHeight="12.75"/>
  <cols>
    <col min="7" max="7" width="13.00390625" style="0" customWidth="1"/>
    <col min="8" max="8" width="9.125" style="0" hidden="1" customWidth="1"/>
  </cols>
  <sheetData>
    <row r="1" spans="1:10" ht="12.75">
      <c r="A1" s="121"/>
      <c r="B1" s="121"/>
      <c r="C1" s="121"/>
      <c r="D1" s="121"/>
      <c r="E1" s="121"/>
      <c r="F1" s="121"/>
      <c r="G1" s="121"/>
      <c r="H1" s="121"/>
      <c r="I1" s="272" t="s">
        <v>807</v>
      </c>
      <c r="J1" s="272"/>
    </row>
    <row r="2" spans="1:10" ht="12.75">
      <c r="A2" s="272" t="s">
        <v>788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0" ht="12.75">
      <c r="A3" s="272" t="s">
        <v>789</v>
      </c>
      <c r="B3" s="271"/>
      <c r="C3" s="271"/>
      <c r="D3" s="271"/>
      <c r="E3" s="271"/>
      <c r="F3" s="271"/>
      <c r="G3" s="271"/>
      <c r="H3" s="271"/>
      <c r="I3" s="271"/>
      <c r="J3" s="271"/>
    </row>
    <row r="4" spans="1:10" ht="12.75">
      <c r="A4" s="272" t="s">
        <v>886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0" ht="12.75">
      <c r="A5" s="121"/>
      <c r="B5" s="122"/>
      <c r="C5" s="121"/>
      <c r="D5" s="122"/>
      <c r="E5" s="121"/>
      <c r="F5" s="121"/>
      <c r="G5" s="121"/>
      <c r="H5" s="121"/>
      <c r="I5" s="121"/>
      <c r="J5" s="121"/>
    </row>
    <row r="6" spans="1:10" ht="47.25" customHeight="1">
      <c r="A6" s="273" t="s">
        <v>790</v>
      </c>
      <c r="B6" s="274"/>
      <c r="C6" s="274"/>
      <c r="D6" s="274"/>
      <c r="E6" s="274"/>
      <c r="F6" s="274"/>
      <c r="G6" s="274"/>
      <c r="H6" s="274"/>
      <c r="I6" s="274"/>
      <c r="J6" s="274"/>
    </row>
    <row r="7" spans="1:10" ht="12.75">
      <c r="A7" s="123"/>
      <c r="B7" s="124"/>
      <c r="C7" s="123"/>
      <c r="D7" s="123"/>
      <c r="E7" s="121"/>
      <c r="F7" s="121"/>
      <c r="G7" s="121"/>
      <c r="H7" s="121"/>
      <c r="I7" s="121"/>
      <c r="J7" s="121"/>
    </row>
    <row r="8" spans="1:10" ht="12.75">
      <c r="A8" s="125"/>
      <c r="B8" s="126"/>
      <c r="C8" s="126"/>
      <c r="D8" s="126"/>
      <c r="E8" s="121"/>
      <c r="F8" s="121"/>
      <c r="G8" s="121"/>
      <c r="H8" s="121"/>
      <c r="I8" s="121"/>
      <c r="J8" s="121" t="s">
        <v>791</v>
      </c>
    </row>
    <row r="9" spans="1:10" ht="70.5" customHeight="1">
      <c r="A9" s="275" t="s">
        <v>32</v>
      </c>
      <c r="B9" s="276"/>
      <c r="C9" s="276"/>
      <c r="D9" s="276"/>
      <c r="E9" s="276"/>
      <c r="F9" s="276"/>
      <c r="G9" s="276"/>
      <c r="H9" s="277"/>
      <c r="I9" s="57" t="s">
        <v>774</v>
      </c>
      <c r="J9" s="127" t="s">
        <v>775</v>
      </c>
    </row>
    <row r="10" spans="1:10" ht="12.75">
      <c r="A10" s="281" t="s">
        <v>792</v>
      </c>
      <c r="B10" s="282"/>
      <c r="C10" s="282"/>
      <c r="D10" s="282"/>
      <c r="E10" s="282"/>
      <c r="F10" s="282"/>
      <c r="G10" s="282"/>
      <c r="H10" s="283"/>
      <c r="I10" s="45">
        <v>2</v>
      </c>
      <c r="J10" s="128">
        <v>3</v>
      </c>
    </row>
    <row r="11" spans="1:10" ht="13.5" customHeight="1">
      <c r="A11" s="284" t="s">
        <v>793</v>
      </c>
      <c r="B11" s="285"/>
      <c r="C11" s="285"/>
      <c r="D11" s="285"/>
      <c r="E11" s="285"/>
      <c r="F11" s="285"/>
      <c r="G11" s="285"/>
      <c r="H11" s="286"/>
      <c r="I11" s="129">
        <f>I12+I15</f>
        <v>15700</v>
      </c>
      <c r="J11" s="129">
        <f>J12+J15</f>
        <v>15700</v>
      </c>
    </row>
    <row r="12" spans="1:10" ht="19.5" customHeight="1">
      <c r="A12" s="278" t="s">
        <v>52</v>
      </c>
      <c r="B12" s="279"/>
      <c r="C12" s="279"/>
      <c r="D12" s="279"/>
      <c r="E12" s="279"/>
      <c r="F12" s="279"/>
      <c r="G12" s="279"/>
      <c r="H12" s="280"/>
      <c r="I12" s="130">
        <v>0</v>
      </c>
      <c r="J12" s="130">
        <v>0</v>
      </c>
    </row>
    <row r="13" spans="1:10" ht="13.5" customHeight="1">
      <c r="A13" s="278" t="s">
        <v>794</v>
      </c>
      <c r="B13" s="279"/>
      <c r="C13" s="279"/>
      <c r="D13" s="279"/>
      <c r="E13" s="279"/>
      <c r="F13" s="279"/>
      <c r="G13" s="279"/>
      <c r="H13" s="280"/>
      <c r="I13" s="130">
        <v>0</v>
      </c>
      <c r="J13" s="130">
        <v>0</v>
      </c>
    </row>
    <row r="14" spans="1:10" ht="13.5" customHeight="1">
      <c r="A14" s="278" t="s">
        <v>795</v>
      </c>
      <c r="B14" s="279"/>
      <c r="C14" s="279"/>
      <c r="D14" s="279"/>
      <c r="E14" s="279"/>
      <c r="F14" s="279"/>
      <c r="G14" s="279"/>
      <c r="H14" s="280"/>
      <c r="I14" s="130"/>
      <c r="J14" s="130"/>
    </row>
    <row r="15" spans="1:10" ht="32.25" customHeight="1">
      <c r="A15" s="278" t="s">
        <v>98</v>
      </c>
      <c r="B15" s="279"/>
      <c r="C15" s="279"/>
      <c r="D15" s="279"/>
      <c r="E15" s="279"/>
      <c r="F15" s="279"/>
      <c r="G15" s="279"/>
      <c r="H15" s="280"/>
      <c r="I15" s="130">
        <f>I16-I17</f>
        <v>15700</v>
      </c>
      <c r="J15" s="130">
        <f>J16-J17</f>
        <v>15700</v>
      </c>
    </row>
    <row r="16" spans="1:10" ht="13.5" customHeight="1">
      <c r="A16" s="278" t="s">
        <v>796</v>
      </c>
      <c r="B16" s="279"/>
      <c r="C16" s="279"/>
      <c r="D16" s="279"/>
      <c r="E16" s="279"/>
      <c r="F16" s="279"/>
      <c r="G16" s="279"/>
      <c r="H16" s="280"/>
      <c r="I16" s="130">
        <v>20000</v>
      </c>
      <c r="J16" s="130">
        <v>20000</v>
      </c>
    </row>
    <row r="17" spans="1:10" ht="18" customHeight="1">
      <c r="A17" s="278" t="s">
        <v>795</v>
      </c>
      <c r="B17" s="279"/>
      <c r="C17" s="279"/>
      <c r="D17" s="279"/>
      <c r="E17" s="279"/>
      <c r="F17" s="279"/>
      <c r="G17" s="279"/>
      <c r="H17" s="280"/>
      <c r="I17" s="130">
        <v>4300</v>
      </c>
      <c r="J17" s="130">
        <v>4300</v>
      </c>
    </row>
  </sheetData>
  <sheetProtection/>
  <mergeCells count="14">
    <mergeCell ref="A16:H16"/>
    <mergeCell ref="A17:H17"/>
    <mergeCell ref="A10:H10"/>
    <mergeCell ref="A11:H11"/>
    <mergeCell ref="A12:H12"/>
    <mergeCell ref="A13:H13"/>
    <mergeCell ref="A14:H14"/>
    <mergeCell ref="A15:H15"/>
    <mergeCell ref="I1:J1"/>
    <mergeCell ref="A2:J2"/>
    <mergeCell ref="A3:J3"/>
    <mergeCell ref="A4:J4"/>
    <mergeCell ref="A6:J6"/>
    <mergeCell ref="A9:H9"/>
  </mergeCells>
  <printOptions/>
  <pageMargins left="0.93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I10" sqref="I10"/>
    </sheetView>
  </sheetViews>
  <sheetFormatPr defaultColWidth="9.00390625" defaultRowHeight="12.75"/>
  <cols>
    <col min="8" max="8" width="2.375" style="0" customWidth="1"/>
    <col min="10" max="10" width="9.625" style="0" customWidth="1"/>
  </cols>
  <sheetData>
    <row r="1" spans="1:11" s="5" customFormat="1" ht="12.75">
      <c r="A1" s="272" t="s">
        <v>808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s="5" customFormat="1" ht="12.75">
      <c r="A2" s="272" t="s">
        <v>797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s="5" customFormat="1" ht="12.75">
      <c r="A3" s="272" t="str">
        <f>'[1]Пр.8'!A3</f>
        <v>"Об исполнении бюджета муниципального образования "Сусуманский городской округ" за 2016 год"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s="5" customFormat="1" ht="12.75">
      <c r="A4" s="272" t="str">
        <f>'пр.2 РзПз'!A4:G4</f>
        <v>от 19.05.2017 г. № 192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</row>
    <row r="5" spans="1:11" s="5" customFormat="1" ht="12.75">
      <c r="A5" s="121"/>
      <c r="B5" s="122"/>
      <c r="C5" s="121"/>
      <c r="D5" s="122"/>
      <c r="E5" s="121"/>
      <c r="F5" s="121"/>
      <c r="G5" s="121"/>
      <c r="H5" s="121"/>
      <c r="I5" s="121"/>
      <c r="J5" s="121"/>
      <c r="K5" s="121"/>
    </row>
    <row r="6" spans="1:11" s="5" customFormat="1" ht="38.25" customHeight="1">
      <c r="A6" s="273" t="s">
        <v>798</v>
      </c>
      <c r="B6" s="274"/>
      <c r="C6" s="274"/>
      <c r="D6" s="274"/>
      <c r="E6" s="274"/>
      <c r="F6" s="274"/>
      <c r="G6" s="274"/>
      <c r="H6" s="274"/>
      <c r="I6" s="274"/>
      <c r="J6" s="274"/>
      <c r="K6" s="295"/>
    </row>
    <row r="7" spans="1:11" s="5" customFormat="1" ht="12.75">
      <c r="A7" s="123"/>
      <c r="B7" s="124"/>
      <c r="C7" s="123"/>
      <c r="D7" s="123"/>
      <c r="E7" s="121"/>
      <c r="F7" s="121"/>
      <c r="G7" s="121"/>
      <c r="H7" s="121"/>
      <c r="I7" s="121"/>
      <c r="J7" s="121"/>
      <c r="K7" s="121"/>
    </row>
    <row r="8" spans="1:11" s="5" customFormat="1" ht="12.75">
      <c r="A8" s="125"/>
      <c r="B8" s="126"/>
      <c r="C8" s="126"/>
      <c r="D8" s="126"/>
      <c r="E8" s="121"/>
      <c r="F8" s="121"/>
      <c r="G8" s="121"/>
      <c r="H8" s="121"/>
      <c r="I8" s="121"/>
      <c r="J8" s="121"/>
      <c r="K8" s="121"/>
    </row>
    <row r="9" spans="1:11" s="5" customFormat="1" ht="12.75">
      <c r="A9" s="296" t="s">
        <v>32</v>
      </c>
      <c r="B9" s="297"/>
      <c r="C9" s="297"/>
      <c r="D9" s="297"/>
      <c r="E9" s="297"/>
      <c r="F9" s="297"/>
      <c r="G9" s="297"/>
      <c r="H9" s="298"/>
      <c r="I9" s="302" t="s">
        <v>774</v>
      </c>
      <c r="J9" s="303"/>
      <c r="K9" s="304" t="s">
        <v>775</v>
      </c>
    </row>
    <row r="10" spans="1:11" s="5" customFormat="1" ht="72.75" customHeight="1">
      <c r="A10" s="299"/>
      <c r="B10" s="300"/>
      <c r="C10" s="300"/>
      <c r="D10" s="300"/>
      <c r="E10" s="300"/>
      <c r="F10" s="300"/>
      <c r="G10" s="300"/>
      <c r="H10" s="301"/>
      <c r="I10" s="131" t="s">
        <v>799</v>
      </c>
      <c r="J10" s="131" t="s">
        <v>800</v>
      </c>
      <c r="K10" s="305"/>
    </row>
    <row r="11" spans="1:11" s="5" customFormat="1" ht="34.5" customHeight="1">
      <c r="A11" s="287" t="s">
        <v>801</v>
      </c>
      <c r="B11" s="288"/>
      <c r="C11" s="288"/>
      <c r="D11" s="288"/>
      <c r="E11" s="288"/>
      <c r="F11" s="288"/>
      <c r="G11" s="288"/>
      <c r="H11" s="288"/>
      <c r="I11" s="82">
        <f>I13+I14</f>
        <v>63300</v>
      </c>
      <c r="J11" s="82">
        <f>J13+J14</f>
        <v>79000</v>
      </c>
      <c r="K11" s="82">
        <f>K13+K14</f>
        <v>79000</v>
      </c>
    </row>
    <row r="12" spans="1:11" s="5" customFormat="1" ht="12.75">
      <c r="A12" s="289" t="s">
        <v>802</v>
      </c>
      <c r="B12" s="290"/>
      <c r="C12" s="290"/>
      <c r="D12" s="290"/>
      <c r="E12" s="290"/>
      <c r="F12" s="290"/>
      <c r="G12" s="290"/>
      <c r="H12" s="290"/>
      <c r="I12" s="77"/>
      <c r="J12" s="77"/>
      <c r="K12" s="82"/>
    </row>
    <row r="13" spans="1:11" s="5" customFormat="1" ht="47.25" customHeight="1">
      <c r="A13" s="291" t="s">
        <v>803</v>
      </c>
      <c r="B13" s="292"/>
      <c r="C13" s="292"/>
      <c r="D13" s="292"/>
      <c r="E13" s="292"/>
      <c r="F13" s="292"/>
      <c r="G13" s="292"/>
      <c r="H13" s="292"/>
      <c r="I13" s="77">
        <v>63300</v>
      </c>
      <c r="J13" s="77">
        <v>79000</v>
      </c>
      <c r="K13" s="77">
        <v>79000</v>
      </c>
    </row>
    <row r="14" spans="1:11" s="5" customFormat="1" ht="32.25" customHeight="1">
      <c r="A14" s="291" t="s">
        <v>804</v>
      </c>
      <c r="B14" s="292"/>
      <c r="C14" s="292"/>
      <c r="D14" s="292"/>
      <c r="E14" s="292"/>
      <c r="F14" s="292"/>
      <c r="G14" s="292"/>
      <c r="H14" s="292"/>
      <c r="I14" s="77">
        <v>0</v>
      </c>
      <c r="J14" s="77">
        <v>0</v>
      </c>
      <c r="K14" s="77">
        <v>0</v>
      </c>
    </row>
    <row r="15" spans="1:11" s="5" customFormat="1" ht="12.75">
      <c r="A15" s="293" t="s">
        <v>805</v>
      </c>
      <c r="B15" s="294"/>
      <c r="C15" s="294"/>
      <c r="D15" s="294"/>
      <c r="E15" s="294"/>
      <c r="F15" s="294"/>
      <c r="G15" s="294"/>
      <c r="H15" s="294"/>
      <c r="I15" s="82">
        <f>I11</f>
        <v>63300</v>
      </c>
      <c r="J15" s="82">
        <f>J11</f>
        <v>79000</v>
      </c>
      <c r="K15" s="82">
        <f>K11</f>
        <v>79000</v>
      </c>
    </row>
  </sheetData>
  <sheetProtection/>
  <mergeCells count="13">
    <mergeCell ref="A9:H10"/>
    <mergeCell ref="I9:J9"/>
    <mergeCell ref="K9:K10"/>
    <mergeCell ref="A11:H11"/>
    <mergeCell ref="A12:H12"/>
    <mergeCell ref="A13:H13"/>
    <mergeCell ref="A14:H14"/>
    <mergeCell ref="A15:H15"/>
    <mergeCell ref="A1:K1"/>
    <mergeCell ref="A2:K2"/>
    <mergeCell ref="A3:K3"/>
    <mergeCell ref="A4:K4"/>
    <mergeCell ref="A6:K6"/>
  </mergeCells>
  <printOptions/>
  <pageMargins left="0.57" right="0.7" top="0.75" bottom="0.75" header="0.3" footer="0.3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60" zoomScalePageLayoutView="0" workbookViewId="0" topLeftCell="A16">
      <selection activeCell="AC19" sqref="AC19"/>
    </sheetView>
  </sheetViews>
  <sheetFormatPr defaultColWidth="9.00390625" defaultRowHeight="12.75"/>
  <cols>
    <col min="1" max="1" width="10.625" style="179" customWidth="1"/>
    <col min="2" max="2" width="6.625" style="179" customWidth="1"/>
    <col min="3" max="3" width="11.375" style="179" customWidth="1"/>
    <col min="4" max="4" width="22.625" style="179" customWidth="1"/>
    <col min="5" max="5" width="37.375" style="179" customWidth="1"/>
    <col min="6" max="6" width="12.375" style="119" hidden="1" customWidth="1"/>
    <col min="7" max="7" width="9.25390625" style="179" hidden="1" customWidth="1"/>
    <col min="8" max="8" width="10.00390625" style="179" hidden="1" customWidth="1"/>
    <col min="9" max="9" width="14.00390625" style="179" hidden="1" customWidth="1"/>
    <col min="10" max="10" width="26.75390625" style="179" customWidth="1"/>
    <col min="11" max="12" width="13.25390625" style="179" customWidth="1"/>
    <col min="13" max="16384" width="9.125" style="179" customWidth="1"/>
  </cols>
  <sheetData>
    <row r="1" spans="1:12" ht="12.75">
      <c r="A1" s="315" t="s">
        <v>815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2.75">
      <c r="A2" s="315" t="s">
        <v>816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ht="12.75">
      <c r="A3" s="316"/>
      <c r="B3" s="316"/>
      <c r="C3" s="316"/>
      <c r="D3" s="316"/>
      <c r="E3" s="270" t="s">
        <v>789</v>
      </c>
      <c r="F3" s="270"/>
      <c r="G3" s="270"/>
      <c r="H3" s="270"/>
      <c r="I3" s="270"/>
      <c r="J3" s="268"/>
      <c r="K3" s="268"/>
      <c r="L3" s="268"/>
    </row>
    <row r="4" spans="1:12" ht="12.75">
      <c r="A4" s="315" t="s">
        <v>888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ht="12.75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</row>
    <row r="6" spans="1:12" ht="12.75">
      <c r="A6" s="317"/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</row>
    <row r="7" spans="1:12" ht="12.75">
      <c r="A7" s="306" t="s">
        <v>817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</row>
    <row r="8" spans="1:12" ht="30.75" customHeight="1">
      <c r="A8" s="307" t="s">
        <v>818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2" ht="12.75">
      <c r="A9" s="308" t="s">
        <v>819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</row>
    <row r="10" spans="1:12" ht="12.75">
      <c r="A10" s="309" t="s">
        <v>820</v>
      </c>
      <c r="B10" s="311" t="s">
        <v>821</v>
      </c>
      <c r="C10" s="311" t="s">
        <v>822</v>
      </c>
      <c r="D10" s="311" t="s">
        <v>823</v>
      </c>
      <c r="E10" s="311" t="s">
        <v>824</v>
      </c>
      <c r="F10" s="163"/>
      <c r="G10" s="164"/>
      <c r="H10" s="164"/>
      <c r="I10" s="164"/>
      <c r="J10" s="313" t="s">
        <v>825</v>
      </c>
      <c r="K10" s="164" t="s">
        <v>826</v>
      </c>
      <c r="L10" s="165" t="s">
        <v>827</v>
      </c>
    </row>
    <row r="11" spans="1:12" ht="49.5" customHeight="1">
      <c r="A11" s="310"/>
      <c r="B11" s="312"/>
      <c r="C11" s="312"/>
      <c r="D11" s="312"/>
      <c r="E11" s="312"/>
      <c r="F11" s="165" t="s">
        <v>828</v>
      </c>
      <c r="G11" s="164" t="s">
        <v>829</v>
      </c>
      <c r="H11" s="164" t="s">
        <v>48</v>
      </c>
      <c r="I11" s="164" t="s">
        <v>830</v>
      </c>
      <c r="J11" s="313"/>
      <c r="K11" s="164" t="s">
        <v>831</v>
      </c>
      <c r="L11" s="164" t="s">
        <v>832</v>
      </c>
    </row>
    <row r="12" spans="1:12" ht="91.5" customHeight="1">
      <c r="A12" s="318" t="s">
        <v>833</v>
      </c>
      <c r="B12" s="319" t="s">
        <v>834</v>
      </c>
      <c r="C12" s="320" t="s">
        <v>835</v>
      </c>
      <c r="D12" s="320" t="s">
        <v>169</v>
      </c>
      <c r="E12" s="321" t="s">
        <v>836</v>
      </c>
      <c r="F12" s="322"/>
      <c r="G12" s="323"/>
      <c r="H12" s="324"/>
      <c r="I12" s="324"/>
      <c r="J12" s="325" t="s">
        <v>837</v>
      </c>
      <c r="K12" s="166">
        <v>30000</v>
      </c>
      <c r="L12" s="166">
        <v>30000</v>
      </c>
    </row>
    <row r="13" spans="1:12" ht="174.75" customHeight="1">
      <c r="A13" s="326" t="s">
        <v>838</v>
      </c>
      <c r="B13" s="327" t="s">
        <v>839</v>
      </c>
      <c r="C13" s="328" t="s">
        <v>840</v>
      </c>
      <c r="D13" s="320" t="s">
        <v>169</v>
      </c>
      <c r="E13" s="167" t="s">
        <v>841</v>
      </c>
      <c r="F13" s="329"/>
      <c r="G13" s="330"/>
      <c r="H13" s="331"/>
      <c r="I13" s="331"/>
      <c r="J13" s="325" t="s">
        <v>837</v>
      </c>
      <c r="K13" s="168">
        <v>30000</v>
      </c>
      <c r="L13" s="168">
        <v>30000</v>
      </c>
    </row>
    <row r="14" spans="1:12" ht="158.25" customHeight="1">
      <c r="A14" s="169" t="s">
        <v>842</v>
      </c>
      <c r="B14" s="170" t="s">
        <v>843</v>
      </c>
      <c r="C14" s="171" t="s">
        <v>844</v>
      </c>
      <c r="D14" s="320" t="s">
        <v>169</v>
      </c>
      <c r="E14" s="172" t="s">
        <v>845</v>
      </c>
      <c r="F14" s="322"/>
      <c r="G14" s="323"/>
      <c r="H14" s="324"/>
      <c r="I14" s="324"/>
      <c r="J14" s="325" t="s">
        <v>837</v>
      </c>
      <c r="K14" s="173">
        <v>20000</v>
      </c>
      <c r="L14" s="173">
        <v>20000</v>
      </c>
    </row>
    <row r="15" spans="1:12" ht="165" customHeight="1">
      <c r="A15" s="323" t="s">
        <v>846</v>
      </c>
      <c r="B15" s="332" t="s">
        <v>847</v>
      </c>
      <c r="C15" s="171" t="s">
        <v>844</v>
      </c>
      <c r="D15" s="320" t="s">
        <v>169</v>
      </c>
      <c r="E15" s="172" t="s">
        <v>848</v>
      </c>
      <c r="F15" s="333"/>
      <c r="G15" s="333"/>
      <c r="H15" s="333"/>
      <c r="I15" s="331"/>
      <c r="J15" s="325" t="s">
        <v>837</v>
      </c>
      <c r="K15" s="168">
        <v>10000</v>
      </c>
      <c r="L15" s="168">
        <v>10000</v>
      </c>
    </row>
    <row r="16" spans="1:12" ht="155.25" customHeight="1">
      <c r="A16" s="323" t="s">
        <v>849</v>
      </c>
      <c r="B16" s="332" t="s">
        <v>850</v>
      </c>
      <c r="C16" s="171" t="s">
        <v>844</v>
      </c>
      <c r="D16" s="320" t="s">
        <v>169</v>
      </c>
      <c r="E16" s="172" t="s">
        <v>851</v>
      </c>
      <c r="F16" s="333"/>
      <c r="G16" s="333"/>
      <c r="H16" s="333"/>
      <c r="I16" s="331"/>
      <c r="J16" s="325" t="s">
        <v>837</v>
      </c>
      <c r="K16" s="168">
        <v>20000</v>
      </c>
      <c r="L16" s="168">
        <v>20000</v>
      </c>
    </row>
    <row r="17" spans="1:12" ht="165.75">
      <c r="A17" s="323" t="s">
        <v>852</v>
      </c>
      <c r="B17" s="332" t="s">
        <v>853</v>
      </c>
      <c r="C17" s="334" t="s">
        <v>854</v>
      </c>
      <c r="D17" s="320" t="s">
        <v>169</v>
      </c>
      <c r="E17" s="172" t="s">
        <v>855</v>
      </c>
      <c r="F17" s="333"/>
      <c r="G17" s="333"/>
      <c r="H17" s="333"/>
      <c r="I17" s="331"/>
      <c r="J17" s="325" t="s">
        <v>837</v>
      </c>
      <c r="K17" s="168">
        <v>30000</v>
      </c>
      <c r="L17" s="168">
        <v>30000</v>
      </c>
    </row>
    <row r="18" spans="1:12" ht="76.5">
      <c r="A18" s="174" t="s">
        <v>849</v>
      </c>
      <c r="B18" s="175" t="s">
        <v>856</v>
      </c>
      <c r="C18" s="171" t="s">
        <v>857</v>
      </c>
      <c r="D18" s="320" t="s">
        <v>169</v>
      </c>
      <c r="E18" s="167" t="s">
        <v>858</v>
      </c>
      <c r="F18" s="335"/>
      <c r="G18" s="335"/>
      <c r="H18" s="335"/>
      <c r="I18" s="324"/>
      <c r="J18" s="325" t="s">
        <v>837</v>
      </c>
      <c r="K18" s="173">
        <v>40640</v>
      </c>
      <c r="L18" s="173">
        <v>40640</v>
      </c>
    </row>
    <row r="19" spans="1:12" ht="165.75">
      <c r="A19" s="174" t="s">
        <v>859</v>
      </c>
      <c r="B19" s="175" t="s">
        <v>860</v>
      </c>
      <c r="C19" s="171" t="s">
        <v>861</v>
      </c>
      <c r="D19" s="320" t="s">
        <v>169</v>
      </c>
      <c r="E19" s="172" t="s">
        <v>862</v>
      </c>
      <c r="F19" s="335"/>
      <c r="G19" s="335"/>
      <c r="H19" s="335"/>
      <c r="I19" s="324"/>
      <c r="J19" s="325" t="s">
        <v>837</v>
      </c>
      <c r="K19" s="173">
        <v>30000</v>
      </c>
      <c r="L19" s="173">
        <v>30000</v>
      </c>
    </row>
    <row r="20" spans="1:12" ht="165.75">
      <c r="A20" s="174" t="s">
        <v>859</v>
      </c>
      <c r="B20" s="175" t="s">
        <v>863</v>
      </c>
      <c r="C20" s="171" t="s">
        <v>861</v>
      </c>
      <c r="D20" s="320" t="s">
        <v>169</v>
      </c>
      <c r="E20" s="172" t="s">
        <v>864</v>
      </c>
      <c r="F20" s="335"/>
      <c r="G20" s="335"/>
      <c r="H20" s="335"/>
      <c r="I20" s="324"/>
      <c r="J20" s="325" t="s">
        <v>837</v>
      </c>
      <c r="K20" s="173">
        <v>30000</v>
      </c>
      <c r="L20" s="173">
        <v>30000</v>
      </c>
    </row>
    <row r="21" spans="1:12" ht="174" customHeight="1">
      <c r="A21" s="174" t="s">
        <v>865</v>
      </c>
      <c r="B21" s="175" t="s">
        <v>866</v>
      </c>
      <c r="C21" s="171" t="s">
        <v>867</v>
      </c>
      <c r="D21" s="320" t="s">
        <v>169</v>
      </c>
      <c r="E21" s="167" t="s">
        <v>868</v>
      </c>
      <c r="F21" s="335"/>
      <c r="G21" s="335"/>
      <c r="H21" s="335"/>
      <c r="I21" s="324"/>
      <c r="J21" s="336" t="s">
        <v>869</v>
      </c>
      <c r="K21" s="173">
        <f>146092.55+0.45</f>
        <v>146093</v>
      </c>
      <c r="L21" s="173">
        <v>146092.55</v>
      </c>
    </row>
    <row r="22" spans="1:12" ht="12.75">
      <c r="A22" s="323"/>
      <c r="B22" s="332"/>
      <c r="C22" s="324"/>
      <c r="D22" s="324"/>
      <c r="E22" s="337" t="s">
        <v>870</v>
      </c>
      <c r="F22" s="322"/>
      <c r="G22" s="323"/>
      <c r="H22" s="324"/>
      <c r="I22" s="324"/>
      <c r="J22" s="324"/>
      <c r="K22" s="176">
        <f>SUM(K12:K21)</f>
        <v>386733</v>
      </c>
      <c r="L22" s="176">
        <f>SUM(L12:L21)</f>
        <v>386732.55</v>
      </c>
    </row>
    <row r="23" spans="1:12" ht="12.75">
      <c r="A23" s="338"/>
      <c r="B23" s="339"/>
      <c r="C23" s="186"/>
      <c r="D23" s="186"/>
      <c r="E23" s="340"/>
      <c r="F23" s="341"/>
      <c r="G23" s="186"/>
      <c r="H23" s="186"/>
      <c r="I23" s="186"/>
      <c r="J23" s="186"/>
      <c r="K23" s="186"/>
      <c r="L23" s="186"/>
    </row>
    <row r="24" spans="1:12" ht="12.75">
      <c r="A24" s="338"/>
      <c r="B24" s="339"/>
      <c r="C24" s="186"/>
      <c r="D24" s="186"/>
      <c r="E24" s="340"/>
      <c r="F24" s="341"/>
      <c r="G24" s="186"/>
      <c r="H24" s="186"/>
      <c r="I24" s="186"/>
      <c r="J24" s="186"/>
      <c r="K24" s="186"/>
      <c r="L24" s="186"/>
    </row>
  </sheetData>
  <sheetProtection/>
  <mergeCells count="13">
    <mergeCell ref="A9:L9"/>
    <mergeCell ref="A10:A11"/>
    <mergeCell ref="B10:B11"/>
    <mergeCell ref="C10:C11"/>
    <mergeCell ref="D10:D11"/>
    <mergeCell ref="E10:E11"/>
    <mergeCell ref="J10:J11"/>
    <mergeCell ref="A1:L1"/>
    <mergeCell ref="A2:L2"/>
    <mergeCell ref="E3:L3"/>
    <mergeCell ref="A4:L4"/>
    <mergeCell ref="A7:L7"/>
    <mergeCell ref="A8:L8"/>
  </mergeCells>
  <printOptions/>
  <pageMargins left="1.51" right="0.6" top="0.32" bottom="0.26" header="0.31496062992125984" footer="0.31496062992125984"/>
  <pageSetup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52.875" style="0" customWidth="1"/>
    <col min="2" max="2" width="5.75390625" style="0" customWidth="1"/>
    <col min="3" max="3" width="5.875" style="0" customWidth="1"/>
    <col min="4" max="4" width="14.375" style="0" customWidth="1"/>
    <col min="5" max="5" width="6.25390625" style="0" customWidth="1"/>
    <col min="6" max="6" width="6.75390625" style="0" customWidth="1"/>
  </cols>
  <sheetData>
    <row r="1" spans="1:10" ht="12.75">
      <c r="A1" s="271" t="s">
        <v>811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12.75">
      <c r="A2" s="271" t="str">
        <f>'пр.8 ВД'!A2</f>
        <v>к решению  Собрания представителей Сусуманского городского округа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ht="12.75">
      <c r="A3" s="271" t="str">
        <f>'пр.8 ВД'!A3</f>
        <v>"Об исполнении бюджета муниципального образования "Сусуманский городской округ" за 2016 год"</v>
      </c>
      <c r="B3" s="271"/>
      <c r="C3" s="271"/>
      <c r="D3" s="271"/>
      <c r="E3" s="271"/>
      <c r="F3" s="271"/>
      <c r="G3" s="271"/>
      <c r="H3" s="271"/>
      <c r="I3" s="271"/>
      <c r="J3" s="271"/>
    </row>
    <row r="4" spans="1:10" ht="12.75">
      <c r="A4" s="271" t="str">
        <f>'пр.8 ВД'!A4</f>
        <v>от 19.05.2017 г. № 192</v>
      </c>
      <c r="B4" s="271"/>
      <c r="C4" s="271"/>
      <c r="D4" s="271"/>
      <c r="E4" s="271"/>
      <c r="F4" s="271"/>
      <c r="G4" s="271"/>
      <c r="H4" s="271"/>
      <c r="I4" s="271"/>
      <c r="J4" s="271"/>
    </row>
    <row r="7" spans="1:10" s="133" customFormat="1" ht="16.5" customHeight="1">
      <c r="A7" s="314" t="s">
        <v>812</v>
      </c>
      <c r="B7" s="314"/>
      <c r="C7" s="314"/>
      <c r="D7" s="314"/>
      <c r="E7" s="314"/>
      <c r="F7" s="314"/>
      <c r="G7" s="314"/>
      <c r="H7" s="248"/>
      <c r="I7" s="248"/>
      <c r="J7" s="248"/>
    </row>
    <row r="8" spans="2:10" s="133" customFormat="1" ht="23.25" customHeight="1">
      <c r="B8" s="134"/>
      <c r="C8" s="134"/>
      <c r="D8" s="134"/>
      <c r="E8" s="134"/>
      <c r="F8" s="134"/>
      <c r="G8" s="134"/>
      <c r="H8" s="132"/>
      <c r="I8" s="134" t="s">
        <v>809</v>
      </c>
      <c r="J8" s="134"/>
    </row>
    <row r="9" spans="1:10" s="133" customFormat="1" ht="23.25" customHeight="1">
      <c r="A9" s="135" t="s">
        <v>32</v>
      </c>
      <c r="B9" s="39" t="s">
        <v>46</v>
      </c>
      <c r="C9" s="39" t="s">
        <v>45</v>
      </c>
      <c r="D9" s="39" t="s">
        <v>47</v>
      </c>
      <c r="E9" s="39" t="s">
        <v>48</v>
      </c>
      <c r="F9" s="136" t="s">
        <v>810</v>
      </c>
      <c r="G9" s="91" t="s">
        <v>774</v>
      </c>
      <c r="H9" s="91" t="s">
        <v>775</v>
      </c>
      <c r="I9" s="92" t="s">
        <v>776</v>
      </c>
      <c r="J9" s="91" t="s">
        <v>777</v>
      </c>
    </row>
    <row r="10" spans="1:10" s="133" customFormat="1" ht="23.25" customHeight="1">
      <c r="A10" s="135">
        <v>1</v>
      </c>
      <c r="B10" s="139">
        <v>2</v>
      </c>
      <c r="C10" s="139">
        <v>3</v>
      </c>
      <c r="D10" s="139">
        <v>4</v>
      </c>
      <c r="E10" s="135">
        <v>5</v>
      </c>
      <c r="F10" s="135">
        <v>6</v>
      </c>
      <c r="G10" s="135">
        <v>7</v>
      </c>
      <c r="H10" s="157">
        <v>8</v>
      </c>
      <c r="I10" s="135">
        <v>9</v>
      </c>
      <c r="J10" s="135">
        <v>10</v>
      </c>
    </row>
    <row r="11" spans="1:10" s="133" customFormat="1" ht="36" customHeight="1">
      <c r="A11" s="138" t="s">
        <v>18</v>
      </c>
      <c r="B11" s="139"/>
      <c r="C11" s="139"/>
      <c r="D11" s="29" t="s">
        <v>253</v>
      </c>
      <c r="E11" s="135"/>
      <c r="F11" s="135"/>
      <c r="G11" s="140">
        <f>G13</f>
        <v>3000</v>
      </c>
      <c r="H11" s="141">
        <f>H13</f>
        <v>2910.1</v>
      </c>
      <c r="I11" s="140">
        <f>G11-H11</f>
        <v>89.90000000000009</v>
      </c>
      <c r="J11" s="140">
        <f>H11/G11*100</f>
        <v>97.00333333333333</v>
      </c>
    </row>
    <row r="12" spans="1:10" s="133" customFormat="1" ht="30.75" customHeight="1">
      <c r="A12" s="138" t="s">
        <v>544</v>
      </c>
      <c r="B12" s="139"/>
      <c r="C12" s="139"/>
      <c r="D12" s="29" t="s">
        <v>547</v>
      </c>
      <c r="E12" s="135"/>
      <c r="F12" s="135"/>
      <c r="G12" s="140"/>
      <c r="H12" s="141"/>
      <c r="I12" s="142"/>
      <c r="J12" s="142"/>
    </row>
    <row r="13" spans="1:10" s="133" customFormat="1" ht="15.75">
      <c r="A13" s="143" t="s">
        <v>62</v>
      </c>
      <c r="B13" s="144">
        <v>10</v>
      </c>
      <c r="C13" s="144"/>
      <c r="D13" s="13" t="s">
        <v>547</v>
      </c>
      <c r="E13" s="137"/>
      <c r="F13" s="137"/>
      <c r="G13" s="140">
        <f aca="true" t="shared" si="0" ref="G13:H17">G14</f>
        <v>3000</v>
      </c>
      <c r="H13" s="141">
        <f t="shared" si="0"/>
        <v>2910.1</v>
      </c>
      <c r="I13" s="145">
        <f aca="true" t="shared" si="1" ref="I13:I18">G13-H13</f>
        <v>89.90000000000009</v>
      </c>
      <c r="J13" s="145">
        <f aca="true" t="shared" si="2" ref="J13:J19">H13/G13*100</f>
        <v>97.00333333333333</v>
      </c>
    </row>
    <row r="14" spans="1:10" s="133" customFormat="1" ht="15.75">
      <c r="A14" s="146" t="s">
        <v>58</v>
      </c>
      <c r="B14" s="147">
        <v>10</v>
      </c>
      <c r="C14" s="147" t="s">
        <v>66</v>
      </c>
      <c r="D14" s="13" t="s">
        <v>547</v>
      </c>
      <c r="E14" s="137"/>
      <c r="F14" s="137"/>
      <c r="G14" s="148">
        <f t="shared" si="0"/>
        <v>3000</v>
      </c>
      <c r="H14" s="149">
        <f t="shared" si="0"/>
        <v>2910.1</v>
      </c>
      <c r="I14" s="150">
        <f t="shared" si="1"/>
        <v>89.90000000000009</v>
      </c>
      <c r="J14" s="150">
        <f t="shared" si="2"/>
        <v>97.00333333333333</v>
      </c>
    </row>
    <row r="15" spans="1:10" s="133" customFormat="1" ht="31.5">
      <c r="A15" s="151" t="s">
        <v>126</v>
      </c>
      <c r="B15" s="147">
        <v>10</v>
      </c>
      <c r="C15" s="147" t="s">
        <v>66</v>
      </c>
      <c r="D15" s="13" t="s">
        <v>547</v>
      </c>
      <c r="E15" s="152" t="s">
        <v>127</v>
      </c>
      <c r="F15" s="137"/>
      <c r="G15" s="148">
        <f t="shared" si="0"/>
        <v>3000</v>
      </c>
      <c r="H15" s="149">
        <f t="shared" si="0"/>
        <v>2910.1</v>
      </c>
      <c r="I15" s="150">
        <f t="shared" si="1"/>
        <v>89.90000000000009</v>
      </c>
      <c r="J15" s="150">
        <f t="shared" si="2"/>
        <v>97.00333333333333</v>
      </c>
    </row>
    <row r="16" spans="1:10" s="133" customFormat="1" ht="31.5">
      <c r="A16" s="151" t="s">
        <v>128</v>
      </c>
      <c r="B16" s="147">
        <v>10</v>
      </c>
      <c r="C16" s="147" t="s">
        <v>66</v>
      </c>
      <c r="D16" s="13" t="s">
        <v>547</v>
      </c>
      <c r="E16" s="152" t="s">
        <v>129</v>
      </c>
      <c r="F16" s="137"/>
      <c r="G16" s="148">
        <f t="shared" si="0"/>
        <v>3000</v>
      </c>
      <c r="H16" s="149">
        <f t="shared" si="0"/>
        <v>2910.1</v>
      </c>
      <c r="I16" s="150">
        <f t="shared" si="1"/>
        <v>89.90000000000009</v>
      </c>
      <c r="J16" s="150">
        <f t="shared" si="2"/>
        <v>97.00333333333333</v>
      </c>
    </row>
    <row r="17" spans="1:10" s="133" customFormat="1" ht="15.75">
      <c r="A17" s="151" t="s">
        <v>130</v>
      </c>
      <c r="B17" s="147">
        <v>10</v>
      </c>
      <c r="C17" s="147" t="s">
        <v>66</v>
      </c>
      <c r="D17" s="13" t="s">
        <v>547</v>
      </c>
      <c r="E17" s="152" t="s">
        <v>131</v>
      </c>
      <c r="F17" s="137"/>
      <c r="G17" s="148">
        <f t="shared" si="0"/>
        <v>3000</v>
      </c>
      <c r="H17" s="149">
        <f t="shared" si="0"/>
        <v>2910.1</v>
      </c>
      <c r="I17" s="150">
        <f t="shared" si="1"/>
        <v>89.90000000000009</v>
      </c>
      <c r="J17" s="150">
        <f t="shared" si="2"/>
        <v>97.00333333333333</v>
      </c>
    </row>
    <row r="18" spans="1:10" s="133" customFormat="1" ht="15.75">
      <c r="A18" s="151" t="s">
        <v>169</v>
      </c>
      <c r="B18" s="147">
        <v>10</v>
      </c>
      <c r="C18" s="147" t="s">
        <v>66</v>
      </c>
      <c r="D18" s="13" t="s">
        <v>547</v>
      </c>
      <c r="E18" s="152" t="s">
        <v>131</v>
      </c>
      <c r="F18" s="137">
        <v>721</v>
      </c>
      <c r="G18" s="148">
        <v>3000</v>
      </c>
      <c r="H18" s="149">
        <v>2910.1</v>
      </c>
      <c r="I18" s="150">
        <f t="shared" si="1"/>
        <v>89.90000000000009</v>
      </c>
      <c r="J18" s="150">
        <f t="shared" si="2"/>
        <v>97.00333333333333</v>
      </c>
    </row>
    <row r="19" spans="1:10" s="156" customFormat="1" ht="14.25">
      <c r="A19" s="153" t="s">
        <v>77</v>
      </c>
      <c r="B19" s="154"/>
      <c r="C19" s="154"/>
      <c r="D19" s="154"/>
      <c r="E19" s="154"/>
      <c r="F19" s="154"/>
      <c r="G19" s="129">
        <f>G11</f>
        <v>3000</v>
      </c>
      <c r="H19" s="155">
        <f>H11</f>
        <v>2910.1</v>
      </c>
      <c r="I19" s="155">
        <f>I11</f>
        <v>89.90000000000009</v>
      </c>
      <c r="J19" s="145">
        <f t="shared" si="2"/>
        <v>97.00333333333333</v>
      </c>
    </row>
  </sheetData>
  <sheetProtection/>
  <mergeCells count="5">
    <mergeCell ref="A1:J1"/>
    <mergeCell ref="A2:J2"/>
    <mergeCell ref="A3:J3"/>
    <mergeCell ref="A4:J4"/>
    <mergeCell ref="A7:J7"/>
  </mergeCells>
  <printOptions/>
  <pageMargins left="0.7" right="0.51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2017-05-19T01:05:21Z</cp:lastPrinted>
  <dcterms:created xsi:type="dcterms:W3CDTF">2004-12-28T06:12:23Z</dcterms:created>
  <dcterms:modified xsi:type="dcterms:W3CDTF">2017-05-19T01:05:50Z</dcterms:modified>
  <cp:category/>
  <cp:version/>
  <cp:contentType/>
  <cp:contentStatus/>
</cp:coreProperties>
</file>