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65" yWindow="-315" windowWidth="15330" windowHeight="11535" tabRatio="599" activeTab="9"/>
  </bookViews>
  <sheets>
    <sheet name="пр2 по разд" sheetId="46" r:id="rId1"/>
    <sheet name="пр.3" sheetId="4" r:id="rId2"/>
    <sheet name="пр.4 вед.стр." sheetId="38" r:id="rId3"/>
    <sheet name="МП пр.5" sheetId="47" r:id="rId4"/>
    <sheet name="пр.6 ист." sheetId="40" r:id="rId5"/>
    <sheet name="пр.7" sheetId="51" r:id="rId6"/>
    <sheet name="пр.8" sheetId="54" r:id="rId7"/>
    <sheet name="Пр.9" sheetId="49" r:id="rId8"/>
    <sheet name="пр.10" sheetId="55" r:id="rId9"/>
    <sheet name="пр.11" sheetId="56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'МП пр.5'!$A$8:$L$759</definedName>
    <definedName name="_xlnm._FilterDatabase" localSheetId="1" hidden="1">пр.3!$A$8:$V$911</definedName>
    <definedName name="_xlnm._FilterDatabase" localSheetId="2" hidden="1">'пр.4 вед.стр.'!$A$8:$J$1009</definedName>
    <definedName name="_xlnm.Print_Titles" localSheetId="2">'пр.4 вед.стр.'!$7:$7</definedName>
    <definedName name="_xlnm.Print_Area" localSheetId="3">'МП пр.5'!$A$1:$J$757</definedName>
    <definedName name="_xlnm.Print_Area" localSheetId="8">пр.10!$A$1:$H$27</definedName>
    <definedName name="_xlnm.Print_Area" localSheetId="1">пр.3!$A$1:$I$912</definedName>
    <definedName name="_xlnm.Print_Area" localSheetId="2">'пр.4 вед.стр.'!$A$1:$K$1007</definedName>
    <definedName name="_xlnm.Print_Area" localSheetId="4">'пр.6 ист.'!$A$1:$F$32</definedName>
    <definedName name="_xlnm.Print_Area" localSheetId="5">пр.7!$A$1:$E$16</definedName>
    <definedName name="_xlnm.Print_Area" localSheetId="6">пр.8!$A$1:$D$15</definedName>
    <definedName name="_xlnm.Print_Area" localSheetId="7">Пр.9!$A$1:$J$15</definedName>
    <definedName name="_xlnm.Print_Area" localSheetId="0">'пр2 по разд'!$A$1:$G$49</definedName>
  </definedNames>
  <calcPr calcId="124519"/>
</workbook>
</file>

<file path=xl/calcChain.xml><?xml version="1.0" encoding="utf-8"?>
<calcChain xmlns="http://schemas.openxmlformats.org/spreadsheetml/2006/main">
  <c r="J540" i="47"/>
  <c r="I540"/>
  <c r="H540"/>
  <c r="G540"/>
  <c r="E14" i="56"/>
  <c r="E13"/>
  <c r="A4"/>
  <c r="A4" i="55"/>
  <c r="A3"/>
  <c r="A2"/>
  <c r="E27"/>
  <c r="D27"/>
  <c r="B27"/>
  <c r="B26"/>
  <c r="H460" i="47" l="1"/>
  <c r="A4" i="54"/>
  <c r="A2" i="4"/>
  <c r="A3"/>
  <c r="D14" i="54"/>
  <c r="D10"/>
  <c r="C10"/>
  <c r="C14" s="1"/>
  <c r="B10"/>
  <c r="B14" s="1"/>
  <c r="A3" i="49" l="1"/>
  <c r="A2"/>
  <c r="A4" i="51"/>
  <c r="D16"/>
  <c r="C14"/>
  <c r="D15"/>
  <c r="C15"/>
  <c r="B15"/>
  <c r="B14" s="1"/>
  <c r="D13"/>
  <c r="D12"/>
  <c r="D11"/>
  <c r="A2" i="40"/>
  <c r="A3" i="47"/>
  <c r="A3" i="40" s="1"/>
  <c r="A2" i="47"/>
  <c r="A3" i="38"/>
  <c r="A2"/>
  <c r="D30" i="40"/>
  <c r="F27"/>
  <c r="E27"/>
  <c r="D26"/>
  <c r="E19"/>
  <c r="D18"/>
  <c r="E18" s="1"/>
  <c r="E14"/>
  <c r="D13"/>
  <c r="E13" s="1"/>
  <c r="E12"/>
  <c r="E11"/>
  <c r="D11"/>
  <c r="D10"/>
  <c r="E10" s="1"/>
  <c r="A47" i="46"/>
  <c r="G15" i="4"/>
  <c r="G14" s="1"/>
  <c r="G13" s="1"/>
  <c r="G21"/>
  <c r="G20" s="1"/>
  <c r="G19" s="1"/>
  <c r="G18" s="1"/>
  <c r="G25"/>
  <c r="G24" s="1"/>
  <c r="G23" s="1"/>
  <c r="G28"/>
  <c r="G27" s="1"/>
  <c r="G30"/>
  <c r="G29" s="1"/>
  <c r="G33"/>
  <c r="G36"/>
  <c r="G35" s="1"/>
  <c r="G34" s="1"/>
  <c r="G42"/>
  <c r="G41" s="1"/>
  <c r="G44"/>
  <c r="G47"/>
  <c r="G50"/>
  <c r="G49" s="1"/>
  <c r="G48" s="1"/>
  <c r="G55"/>
  <c r="G54" s="1"/>
  <c r="G60"/>
  <c r="G61"/>
  <c r="G64"/>
  <c r="G63" s="1"/>
  <c r="G62" s="1"/>
  <c r="G67"/>
  <c r="G70"/>
  <c r="G69" s="1"/>
  <c r="G68" s="1"/>
  <c r="G76"/>
  <c r="G75" s="1"/>
  <c r="G74" s="1"/>
  <c r="G73" s="1"/>
  <c r="G80"/>
  <c r="G79" s="1"/>
  <c r="G78" s="1"/>
  <c r="G83"/>
  <c r="G82" s="1"/>
  <c r="G85"/>
  <c r="G86"/>
  <c r="G89"/>
  <c r="G88" s="1"/>
  <c r="G87" s="1"/>
  <c r="G92"/>
  <c r="G91" s="1"/>
  <c r="G90" s="1"/>
  <c r="G95"/>
  <c r="G94" s="1"/>
  <c r="G93" s="1"/>
  <c r="G100"/>
  <c r="G99" s="1"/>
  <c r="G98" s="1"/>
  <c r="G97" s="1"/>
  <c r="G96" s="1"/>
  <c r="E14" i="46" s="1"/>
  <c r="G105" i="4"/>
  <c r="G104" s="1"/>
  <c r="G107"/>
  <c r="G106" s="1"/>
  <c r="G109"/>
  <c r="G108" s="1"/>
  <c r="G112"/>
  <c r="G111" s="1"/>
  <c r="G110" s="1"/>
  <c r="G115"/>
  <c r="G114" s="1"/>
  <c r="G117"/>
  <c r="G116" s="1"/>
  <c r="G121"/>
  <c r="G120" s="1"/>
  <c r="G119" s="1"/>
  <c r="G124"/>
  <c r="G126"/>
  <c r="G130"/>
  <c r="G134"/>
  <c r="G133" s="1"/>
  <c r="G136"/>
  <c r="G135" s="1"/>
  <c r="G192"/>
  <c r="G191" s="1"/>
  <c r="G204"/>
  <c r="G203" s="1"/>
  <c r="G206"/>
  <c r="G209"/>
  <c r="G208" s="1"/>
  <c r="G207" s="1"/>
  <c r="G213"/>
  <c r="G216"/>
  <c r="G215" s="1"/>
  <c r="G228"/>
  <c r="G227" s="1"/>
  <c r="G226" s="1"/>
  <c r="G225" s="1"/>
  <c r="G247"/>
  <c r="G246" s="1"/>
  <c r="G245" s="1"/>
  <c r="G244" s="1"/>
  <c r="G276"/>
  <c r="G275" s="1"/>
  <c r="G274" s="1"/>
  <c r="G279"/>
  <c r="G278" s="1"/>
  <c r="G281"/>
  <c r="G300"/>
  <c r="G303"/>
  <c r="G302" s="1"/>
  <c r="G319"/>
  <c r="G318" s="1"/>
  <c r="G322"/>
  <c r="G321" s="1"/>
  <c r="G320" s="1"/>
  <c r="G326"/>
  <c r="G325" s="1"/>
  <c r="G329"/>
  <c r="G334"/>
  <c r="G333" s="1"/>
  <c r="G332" s="1"/>
  <c r="G331" s="1"/>
  <c r="G338"/>
  <c r="G337" s="1"/>
  <c r="G336" s="1"/>
  <c r="G335" s="1"/>
  <c r="G353"/>
  <c r="G352" s="1"/>
  <c r="G351" s="1"/>
  <c r="G350" s="1"/>
  <c r="G404"/>
  <c r="G403" s="1"/>
  <c r="G402" s="1"/>
  <c r="G407"/>
  <c r="G410"/>
  <c r="G409" s="1"/>
  <c r="G408" s="1"/>
  <c r="G491"/>
  <c r="G490" s="1"/>
  <c r="G489" s="1"/>
  <c r="G494"/>
  <c r="G493" s="1"/>
  <c r="G497"/>
  <c r="G496" s="1"/>
  <c r="G495" s="1"/>
  <c r="G539"/>
  <c r="G603"/>
  <c r="G625"/>
  <c r="G624" s="1"/>
  <c r="G623" s="1"/>
  <c r="G628"/>
  <c r="G627" s="1"/>
  <c r="G630"/>
  <c r="G633"/>
  <c r="G632" s="1"/>
  <c r="G631" s="1"/>
  <c r="G636"/>
  <c r="G635" s="1"/>
  <c r="G634" s="1"/>
  <c r="G639"/>
  <c r="G638" s="1"/>
  <c r="G637" s="1"/>
  <c r="G643"/>
  <c r="G642" s="1"/>
  <c r="G645"/>
  <c r="G647"/>
  <c r="G646" s="1"/>
  <c r="G650"/>
  <c r="G653"/>
  <c r="G652" s="1"/>
  <c r="G651" s="1"/>
  <c r="G657"/>
  <c r="G659"/>
  <c r="G658" s="1"/>
  <c r="G661"/>
  <c r="G660" s="1"/>
  <c r="G664"/>
  <c r="G663" s="1"/>
  <c r="G662" s="1"/>
  <c r="G705"/>
  <c r="G704" s="1"/>
  <c r="G703" s="1"/>
  <c r="G708"/>
  <c r="G707" s="1"/>
  <c r="G706" s="1"/>
  <c r="G711"/>
  <c r="G710" s="1"/>
  <c r="G709" s="1"/>
  <c r="G715"/>
  <c r="G714" s="1"/>
  <c r="G713" s="1"/>
  <c r="G718"/>
  <c r="G717" s="1"/>
  <c r="G721"/>
  <c r="G720" s="1"/>
  <c r="G719" s="1"/>
  <c r="G725"/>
  <c r="G727"/>
  <c r="G726" s="1"/>
  <c r="G729"/>
  <c r="G728" s="1"/>
  <c r="G753"/>
  <c r="G752" s="1"/>
  <c r="G751" s="1"/>
  <c r="G756"/>
  <c r="G755" s="1"/>
  <c r="G758"/>
  <c r="G761"/>
  <c r="G764"/>
  <c r="G763" s="1"/>
  <c r="G766"/>
  <c r="G765" s="1"/>
  <c r="G769"/>
  <c r="G768" s="1"/>
  <c r="G767" s="1"/>
  <c r="G773"/>
  <c r="G772" s="1"/>
  <c r="G775"/>
  <c r="G774" s="1"/>
  <c r="G777"/>
  <c r="G780"/>
  <c r="G779" s="1"/>
  <c r="G778" s="1"/>
  <c r="G783"/>
  <c r="G782" s="1"/>
  <c r="G781" s="1"/>
  <c r="G789"/>
  <c r="G788" s="1"/>
  <c r="G787" s="1"/>
  <c r="G786" s="1"/>
  <c r="G824"/>
  <c r="G823" s="1"/>
  <c r="G822" s="1"/>
  <c r="G821" s="1"/>
  <c r="G846"/>
  <c r="G845" s="1"/>
  <c r="G848"/>
  <c r="G847" s="1"/>
  <c r="G888"/>
  <c r="G887" s="1"/>
  <c r="G891"/>
  <c r="G890" s="1"/>
  <c r="G889" s="1"/>
  <c r="G894"/>
  <c r="G893" s="1"/>
  <c r="G892" s="1"/>
  <c r="G898"/>
  <c r="G897" s="1"/>
  <c r="G896" s="1"/>
  <c r="G895" s="1"/>
  <c r="G904"/>
  <c r="G903" s="1"/>
  <c r="G910"/>
  <c r="H754" i="38"/>
  <c r="H424" i="47"/>
  <c r="H35" i="38"/>
  <c r="H451"/>
  <c r="G451" i="4" s="1"/>
  <c r="G451" i="38"/>
  <c r="H802"/>
  <c r="H782"/>
  <c r="H785"/>
  <c r="H744"/>
  <c r="H625"/>
  <c r="H621"/>
  <c r="H592"/>
  <c r="H533"/>
  <c r="H491"/>
  <c r="H494"/>
  <c r="H404"/>
  <c r="H323"/>
  <c r="H319"/>
  <c r="H285"/>
  <c r="H264"/>
  <c r="H233"/>
  <c r="H116"/>
  <c r="H104"/>
  <c r="H59"/>
  <c r="H55"/>
  <c r="H44"/>
  <c r="H22"/>
  <c r="H27"/>
  <c r="H38"/>
  <c r="H16"/>
  <c r="H15" i="49" l="1"/>
  <c r="H14" s="1"/>
  <c r="H13" s="1"/>
  <c r="H12" s="1"/>
  <c r="H11" s="1"/>
  <c r="H10" s="1"/>
  <c r="H9" s="1"/>
  <c r="C10" i="51"/>
  <c r="B10"/>
  <c r="D14"/>
  <c r="D17" i="40"/>
  <c r="D21"/>
  <c r="D25"/>
  <c r="D29"/>
  <c r="G84" i="4"/>
  <c r="G81" s="1"/>
  <c r="G77" s="1"/>
  <c r="G190"/>
  <c r="G189" s="1"/>
  <c r="G188" s="1"/>
  <c r="G187" s="1"/>
  <c r="G656"/>
  <c r="G655" s="1"/>
  <c r="G629"/>
  <c r="G626" s="1"/>
  <c r="G622" s="1"/>
  <c r="G602"/>
  <c r="G324"/>
  <c r="G299"/>
  <c r="G212"/>
  <c r="G113"/>
  <c r="G43"/>
  <c r="G40" s="1"/>
  <c r="G32"/>
  <c r="G909"/>
  <c r="G886"/>
  <c r="G885" s="1"/>
  <c r="G724"/>
  <c r="G716"/>
  <c r="G644"/>
  <c r="G538"/>
  <c r="G301"/>
  <c r="G214"/>
  <c r="G123"/>
  <c r="G46"/>
  <c r="G12"/>
  <c r="G844"/>
  <c r="G757"/>
  <c r="G328"/>
  <c r="G317"/>
  <c r="G316" s="1"/>
  <c r="G205"/>
  <c r="G202" s="1"/>
  <c r="G66"/>
  <c r="G902"/>
  <c r="G776"/>
  <c r="G760"/>
  <c r="G280"/>
  <c r="G53"/>
  <c r="G26"/>
  <c r="G649"/>
  <c r="G406"/>
  <c r="G132"/>
  <c r="G129"/>
  <c r="G125"/>
  <c r="G59"/>
  <c r="G492"/>
  <c r="G488" s="1"/>
  <c r="G330"/>
  <c r="G450"/>
  <c r="G785"/>
  <c r="G762"/>
  <c r="G702"/>
  <c r="G103"/>
  <c r="D10" i="51" l="1"/>
  <c r="E17" i="40"/>
  <c r="D28"/>
  <c r="E21"/>
  <c r="D20"/>
  <c r="D24"/>
  <c r="G186" i="4"/>
  <c r="E17" i="46"/>
  <c r="E16" s="1"/>
  <c r="G654" i="4"/>
  <c r="G621"/>
  <c r="G201"/>
  <c r="G405"/>
  <c r="G759"/>
  <c r="G901"/>
  <c r="G102"/>
  <c r="G131"/>
  <c r="G327"/>
  <c r="G323" s="1"/>
  <c r="G843"/>
  <c r="G45"/>
  <c r="G537"/>
  <c r="G31"/>
  <c r="G298"/>
  <c r="G601"/>
  <c r="E40" i="46"/>
  <c r="G128" i="4"/>
  <c r="G277"/>
  <c r="G771"/>
  <c r="G712"/>
  <c r="G72"/>
  <c r="G648"/>
  <c r="G65"/>
  <c r="G11"/>
  <c r="G122"/>
  <c r="G641"/>
  <c r="G723"/>
  <c r="G908"/>
  <c r="G211"/>
  <c r="G754"/>
  <c r="G449"/>
  <c r="E20" i="40" l="1"/>
  <c r="D23"/>
  <c r="D16"/>
  <c r="D15"/>
  <c r="G401" i="4"/>
  <c r="G907"/>
  <c r="G640"/>
  <c r="G10"/>
  <c r="G127"/>
  <c r="G600"/>
  <c r="G770"/>
  <c r="G210"/>
  <c r="G722"/>
  <c r="G118"/>
  <c r="G71"/>
  <c r="G273"/>
  <c r="G297"/>
  <c r="G842"/>
  <c r="G900"/>
  <c r="G22"/>
  <c r="G750"/>
  <c r="G39"/>
  <c r="H34" i="38"/>
  <c r="H33" s="1"/>
  <c r="H40"/>
  <c r="G58" i="4" s="1"/>
  <c r="H42" i="38"/>
  <c r="I55"/>
  <c r="H130" i="4" s="1"/>
  <c r="H129" s="1"/>
  <c r="H128" s="1"/>
  <c r="H127" s="1"/>
  <c r="J59" i="38"/>
  <c r="I61"/>
  <c r="H136" i="4" s="1"/>
  <c r="H135" s="1"/>
  <c r="H67" i="38"/>
  <c r="G150" i="4" s="1"/>
  <c r="H70" i="38"/>
  <c r="G153" i="4" s="1"/>
  <c r="H74" i="38"/>
  <c r="H79"/>
  <c r="G162" i="4" s="1"/>
  <c r="H82" i="38"/>
  <c r="G165" i="4" s="1"/>
  <c r="H85" i="38"/>
  <c r="H1005"/>
  <c r="H1002"/>
  <c r="H999"/>
  <c r="J991"/>
  <c r="H986"/>
  <c r="H985" s="1"/>
  <c r="H984" s="1"/>
  <c r="H981"/>
  <c r="H978"/>
  <c r="H977" s="1"/>
  <c r="J975"/>
  <c r="H971"/>
  <c r="H970" s="1"/>
  <c r="H968"/>
  <c r="H963"/>
  <c r="G310" i="4" s="1"/>
  <c r="H955" i="38"/>
  <c r="H954" s="1"/>
  <c r="H952"/>
  <c r="H951" s="1"/>
  <c r="H949"/>
  <c r="G296" i="4" s="1"/>
  <c r="H946" i="38"/>
  <c r="H941"/>
  <c r="G288" i="4" s="1"/>
  <c r="H933" i="38"/>
  <c r="H931"/>
  <c r="H925"/>
  <c r="H924" s="1"/>
  <c r="H916"/>
  <c r="H915" s="1"/>
  <c r="H914" s="1"/>
  <c r="H913"/>
  <c r="G243" i="4" s="1"/>
  <c r="H908" i="38"/>
  <c r="H905"/>
  <c r="H894"/>
  <c r="H885"/>
  <c r="H879"/>
  <c r="H877"/>
  <c r="H869"/>
  <c r="H865"/>
  <c r="H864" s="1"/>
  <c r="H862"/>
  <c r="H856"/>
  <c r="H853"/>
  <c r="H850"/>
  <c r="G878" i="4" s="1"/>
  <c r="H845" i="38"/>
  <c r="G873" i="4" s="1"/>
  <c r="H840" i="38"/>
  <c r="G868" i="4" s="1"/>
  <c r="H837" i="38"/>
  <c r="G865" i="4" s="1"/>
  <c r="H834" i="38"/>
  <c r="H833" s="1"/>
  <c r="H832" s="1"/>
  <c r="G862" i="4" s="1"/>
  <c r="H831" i="38"/>
  <c r="H828"/>
  <c r="G856" i="4" s="1"/>
  <c r="H820" i="38"/>
  <c r="G820" i="4" s="1"/>
  <c r="H808" i="38"/>
  <c r="H807" s="1"/>
  <c r="H805"/>
  <c r="H801"/>
  <c r="H797"/>
  <c r="H792"/>
  <c r="H789"/>
  <c r="H787"/>
  <c r="H784"/>
  <c r="H783" s="1"/>
  <c r="H777"/>
  <c r="G748" i="4" s="1"/>
  <c r="H772" i="38"/>
  <c r="H767"/>
  <c r="G738" i="4" s="1"/>
  <c r="H765" i="38"/>
  <c r="H757"/>
  <c r="H755"/>
  <c r="H749"/>
  <c r="H748" s="1"/>
  <c r="H746"/>
  <c r="H743"/>
  <c r="H742" s="1"/>
  <c r="H739"/>
  <c r="H733"/>
  <c r="H730"/>
  <c r="H727"/>
  <c r="H724"/>
  <c r="G695" i="4" s="1"/>
  <c r="H721" i="38"/>
  <c r="G692" i="4" s="1"/>
  <c r="H716" i="38"/>
  <c r="G687" i="4" s="1"/>
  <c r="H712" i="38"/>
  <c r="H708"/>
  <c r="G679" i="4" s="1"/>
  <c r="H704" i="38"/>
  <c r="H701"/>
  <c r="H692"/>
  <c r="H691" s="1"/>
  <c r="H686"/>
  <c r="H683"/>
  <c r="H680"/>
  <c r="G585" i="4" s="1"/>
  <c r="H676" i="38"/>
  <c r="H671"/>
  <c r="G552" i="4" s="1"/>
  <c r="H663" i="38"/>
  <c r="H662" s="1"/>
  <c r="H660"/>
  <c r="H654"/>
  <c r="H653" s="1"/>
  <c r="H652" s="1"/>
  <c r="H651"/>
  <c r="H648"/>
  <c r="H647" s="1"/>
  <c r="H646" s="1"/>
  <c r="H643"/>
  <c r="G518" i="4" s="1"/>
  <c r="H640" i="38"/>
  <c r="H639" s="1"/>
  <c r="G515" i="4" s="1"/>
  <c r="H637" i="38"/>
  <c r="H636" s="1"/>
  <c r="H635" s="1"/>
  <c r="H627"/>
  <c r="H624"/>
  <c r="H620"/>
  <c r="H616"/>
  <c r="H615" s="1"/>
  <c r="H613"/>
  <c r="H612" s="1"/>
  <c r="H610"/>
  <c r="H608"/>
  <c r="H606"/>
  <c r="H599"/>
  <c r="H598" s="1"/>
  <c r="H596"/>
  <c r="J595"/>
  <c r="H594"/>
  <c r="H591"/>
  <c r="H590" s="1"/>
  <c r="H588"/>
  <c r="H587" s="1"/>
  <c r="H584"/>
  <c r="H580"/>
  <c r="H573"/>
  <c r="H568"/>
  <c r="H564"/>
  <c r="H561"/>
  <c r="H556"/>
  <c r="H553"/>
  <c r="H551"/>
  <c r="H546"/>
  <c r="H538"/>
  <c r="H537" s="1"/>
  <c r="G545" i="4" s="1"/>
  <c r="H535" i="38"/>
  <c r="H532"/>
  <c r="H531" s="1"/>
  <c r="H529"/>
  <c r="H526"/>
  <c r="H525" s="1"/>
  <c r="H524" s="1"/>
  <c r="H523"/>
  <c r="H518"/>
  <c r="H515"/>
  <c r="H512"/>
  <c r="H507"/>
  <c r="G507" i="4" s="1"/>
  <c r="H504" i="38"/>
  <c r="H496"/>
  <c r="H493"/>
  <c r="H492" s="1"/>
  <c r="H490"/>
  <c r="H487"/>
  <c r="G487" i="4" s="1"/>
  <c r="H484" i="38"/>
  <c r="H481"/>
  <c r="G481" i="4" s="1"/>
  <c r="H478" i="38"/>
  <c r="G478" i="4" s="1"/>
  <c r="H475" i="38"/>
  <c r="H472"/>
  <c r="H467"/>
  <c r="H463"/>
  <c r="G463" i="4" s="1"/>
  <c r="H460" i="38"/>
  <c r="H457"/>
  <c r="G457" i="4" s="1"/>
  <c r="H454" i="38"/>
  <c r="G454" i="4" s="1"/>
  <c r="H450" i="38"/>
  <c r="H449" s="1"/>
  <c r="H448"/>
  <c r="G448" i="4" s="1"/>
  <c r="H445" i="38"/>
  <c r="H440"/>
  <c r="G440" i="4" s="1"/>
  <c r="H437" i="38"/>
  <c r="H434"/>
  <c r="G434" i="4" s="1"/>
  <c r="H431" i="38"/>
  <c r="H428"/>
  <c r="H425"/>
  <c r="H420"/>
  <c r="H417"/>
  <c r="H409"/>
  <c r="H408" s="1"/>
  <c r="J407"/>
  <c r="H406"/>
  <c r="H403"/>
  <c r="H402" s="1"/>
  <c r="H400"/>
  <c r="H395"/>
  <c r="G395" i="4" s="1"/>
  <c r="H392" i="38"/>
  <c r="H389"/>
  <c r="H386"/>
  <c r="G386" i="4" s="1"/>
  <c r="H383" i="38"/>
  <c r="G383" i="4" s="1"/>
  <c r="H380" i="38"/>
  <c r="G380" i="4" s="1"/>
  <c r="H375" i="38"/>
  <c r="H372"/>
  <c r="G372" i="4" s="1"/>
  <c r="H369" i="38"/>
  <c r="H366"/>
  <c r="H361"/>
  <c r="H351"/>
  <c r="H350" s="1"/>
  <c r="H349" s="1"/>
  <c r="H345"/>
  <c r="H344" s="1"/>
  <c r="H343" s="1"/>
  <c r="H342" s="1"/>
  <c r="H339"/>
  <c r="H337"/>
  <c r="H334"/>
  <c r="H333" s="1"/>
  <c r="H330"/>
  <c r="H328"/>
  <c r="H325"/>
  <c r="H324" s="1"/>
  <c r="H320"/>
  <c r="H315"/>
  <c r="H310"/>
  <c r="H307"/>
  <c r="G142" i="4" s="1"/>
  <c r="H297" i="38"/>
  <c r="H296" s="1"/>
  <c r="H288"/>
  <c r="H284"/>
  <c r="H278"/>
  <c r="H277" s="1"/>
  <c r="H275"/>
  <c r="H272"/>
  <c r="H270"/>
  <c r="H267"/>
  <c r="H263"/>
  <c r="H262" s="1"/>
  <c r="H255"/>
  <c r="H254" s="1"/>
  <c r="H249"/>
  <c r="H244"/>
  <c r="H243" s="1"/>
  <c r="H241"/>
  <c r="H237"/>
  <c r="H235"/>
  <c r="J233"/>
  <c r="H229"/>
  <c r="H228" s="1"/>
  <c r="H221"/>
  <c r="H215"/>
  <c r="H214" s="1"/>
  <c r="H212"/>
  <c r="H207"/>
  <c r="H205"/>
  <c r="G831" i="4" s="1"/>
  <c r="H197" i="38"/>
  <c r="H196" s="1"/>
  <c r="H194"/>
  <c r="H192"/>
  <c r="G813" i="4" s="1"/>
  <c r="H189" i="38"/>
  <c r="H187"/>
  <c r="G808" i="4" s="1"/>
  <c r="H183" i="38"/>
  <c r="G804" i="4" s="1"/>
  <c r="H178" i="38"/>
  <c r="H175"/>
  <c r="G796" i="4" s="1"/>
  <c r="I168" i="38"/>
  <c r="H789" i="4" s="1"/>
  <c r="H788" s="1"/>
  <c r="H787" s="1"/>
  <c r="H786" s="1"/>
  <c r="H785" s="1"/>
  <c r="F40" i="46" s="1"/>
  <c r="H167" i="38"/>
  <c r="H162"/>
  <c r="H160"/>
  <c r="H151"/>
  <c r="H146"/>
  <c r="H144"/>
  <c r="G262" i="4" s="1"/>
  <c r="H141" i="38"/>
  <c r="H136"/>
  <c r="H127"/>
  <c r="H124"/>
  <c r="H123" s="1"/>
  <c r="H117"/>
  <c r="H115"/>
  <c r="H112"/>
  <c r="H103"/>
  <c r="H102"/>
  <c r="H101" s="1"/>
  <c r="H97"/>
  <c r="G180" i="4" s="1"/>
  <c r="H94" i="38"/>
  <c r="H90"/>
  <c r="G173" i="4" s="1"/>
  <c r="H60" i="38"/>
  <c r="H49"/>
  <c r="H46"/>
  <c r="H45" s="1"/>
  <c r="H26"/>
  <c r="H25" s="1"/>
  <c r="H23"/>
  <c r="H21"/>
  <c r="H15"/>
  <c r="I16"/>
  <c r="H15" i="4" s="1"/>
  <c r="H14" s="1"/>
  <c r="H13" s="1"/>
  <c r="H12" s="1"/>
  <c r="H11" s="1"/>
  <c r="H10" s="1"/>
  <c r="F10" i="46" s="1"/>
  <c r="J16" i="38"/>
  <c r="I22"/>
  <c r="H42" i="4" s="1"/>
  <c r="H41" s="1"/>
  <c r="J22" i="38"/>
  <c r="I24"/>
  <c r="H44" i="4" s="1"/>
  <c r="H43" s="1"/>
  <c r="J24" i="38"/>
  <c r="J41"/>
  <c r="I44"/>
  <c r="I47"/>
  <c r="H64" i="4" s="1"/>
  <c r="H63" s="1"/>
  <c r="H62" s="1"/>
  <c r="J47" i="38"/>
  <c r="I50"/>
  <c r="H67" i="4" s="1"/>
  <c r="H66" s="1"/>
  <c r="H65" s="1"/>
  <c r="J50" i="38"/>
  <c r="I59"/>
  <c r="H134" i="4" s="1"/>
  <c r="H133" s="1"/>
  <c r="I104" i="38"/>
  <c r="H192" i="4" s="1"/>
  <c r="J104" i="38"/>
  <c r="I116"/>
  <c r="H204" i="4" s="1"/>
  <c r="H203" s="1"/>
  <c r="J116" i="38"/>
  <c r="I118"/>
  <c r="H206" i="4" s="1"/>
  <c r="H205" s="1"/>
  <c r="J118" i="38"/>
  <c r="J121"/>
  <c r="I125"/>
  <c r="H213" i="4" s="1"/>
  <c r="H212" s="1"/>
  <c r="H211" s="1"/>
  <c r="J125" i="38"/>
  <c r="I128"/>
  <c r="H216" i="4" s="1"/>
  <c r="H215" s="1"/>
  <c r="H214" s="1"/>
  <c r="J128" i="38"/>
  <c r="I152"/>
  <c r="J152"/>
  <c r="J168"/>
  <c r="I198"/>
  <c r="H824" i="4" s="1"/>
  <c r="H823" s="1"/>
  <c r="H822" s="1"/>
  <c r="H821" s="1"/>
  <c r="J198" i="38"/>
  <c r="I222"/>
  <c r="H848" i="4" s="1"/>
  <c r="H847" s="1"/>
  <c r="J222" i="38"/>
  <c r="I230"/>
  <c r="J230"/>
  <c r="I236"/>
  <c r="J236"/>
  <c r="I238"/>
  <c r="H85" i="4" s="1"/>
  <c r="J238" i="38"/>
  <c r="I239"/>
  <c r="H86" i="4" s="1"/>
  <c r="J239" i="38"/>
  <c r="I242"/>
  <c r="J242"/>
  <c r="I245"/>
  <c r="J245"/>
  <c r="I250"/>
  <c r="H100" i="4" s="1"/>
  <c r="H99" s="1"/>
  <c r="H98" s="1"/>
  <c r="H97" s="1"/>
  <c r="H96" s="1"/>
  <c r="F14" i="46" s="1"/>
  <c r="J250" i="38"/>
  <c r="I256"/>
  <c r="H910" i="4" s="1"/>
  <c r="H909" s="1"/>
  <c r="H908" s="1"/>
  <c r="H907" s="1"/>
  <c r="H906" s="1"/>
  <c r="J256" i="38"/>
  <c r="I264"/>
  <c r="H21" i="4" s="1"/>
  <c r="H20" s="1"/>
  <c r="H19" s="1"/>
  <c r="H18" s="1"/>
  <c r="J264" i="38"/>
  <c r="I268"/>
  <c r="H25" i="4" s="1"/>
  <c r="H24" s="1"/>
  <c r="H23" s="1"/>
  <c r="J268" i="38"/>
  <c r="I271"/>
  <c r="H28" i="4" s="1"/>
  <c r="H27" s="1"/>
  <c r="J271" i="38"/>
  <c r="I273"/>
  <c r="H30" i="4" s="1"/>
  <c r="H29" s="1"/>
  <c r="J273" i="38"/>
  <c r="I276"/>
  <c r="H33" i="4" s="1"/>
  <c r="H32" s="1"/>
  <c r="H31" s="1"/>
  <c r="J276" i="38"/>
  <c r="I279"/>
  <c r="H36" i="4" s="1"/>
  <c r="H35" s="1"/>
  <c r="H34" s="1"/>
  <c r="J279" i="38"/>
  <c r="I285"/>
  <c r="H76" i="4" s="1"/>
  <c r="H75" s="1"/>
  <c r="H74" s="1"/>
  <c r="H73" s="1"/>
  <c r="J285" i="38"/>
  <c r="I289"/>
  <c r="J289"/>
  <c r="J292"/>
  <c r="I295"/>
  <c r="I298"/>
  <c r="H92" i="4" s="1"/>
  <c r="H91" s="1"/>
  <c r="H90" s="1"/>
  <c r="J298" i="38"/>
  <c r="I319"/>
  <c r="H105" i="4" s="1"/>
  <c r="H104" s="1"/>
  <c r="I321" i="38"/>
  <c r="H107" i="4" s="1"/>
  <c r="H106" s="1"/>
  <c r="J321" i="38"/>
  <c r="I326"/>
  <c r="H112" i="4" s="1"/>
  <c r="H111" s="1"/>
  <c r="H110" s="1"/>
  <c r="J326" i="38"/>
  <c r="I329"/>
  <c r="H115" i="4" s="1"/>
  <c r="H114" s="1"/>
  <c r="J329" i="38"/>
  <c r="I331"/>
  <c r="H117" i="4" s="1"/>
  <c r="H116" s="1"/>
  <c r="J331" i="38"/>
  <c r="I335"/>
  <c r="H121" i="4" s="1"/>
  <c r="H120" s="1"/>
  <c r="H119" s="1"/>
  <c r="J335" i="38"/>
  <c r="I338"/>
  <c r="J338"/>
  <c r="I340"/>
  <c r="H126" i="4" s="1"/>
  <c r="H125" s="1"/>
  <c r="J340" i="38"/>
  <c r="I346"/>
  <c r="J346"/>
  <c r="I352"/>
  <c r="H904" i="4" s="1"/>
  <c r="H903" s="1"/>
  <c r="H902" s="1"/>
  <c r="H901" s="1"/>
  <c r="H900" s="1"/>
  <c r="J352" i="38"/>
  <c r="I404"/>
  <c r="H404" i="4" s="1"/>
  <c r="H403" s="1"/>
  <c r="H402" s="1"/>
  <c r="J404" i="38"/>
  <c r="I407"/>
  <c r="H407" i="4" s="1"/>
  <c r="H406" s="1"/>
  <c r="H405" s="1"/>
  <c r="I410" i="38"/>
  <c r="H410" i="4" s="1"/>
  <c r="H409" s="1"/>
  <c r="H408" s="1"/>
  <c r="J410" i="38"/>
  <c r="I451"/>
  <c r="H451" i="4" s="1"/>
  <c r="H450" s="1"/>
  <c r="H449" s="1"/>
  <c r="J451" i="38"/>
  <c r="I491"/>
  <c r="H491" i="4" s="1"/>
  <c r="H490" s="1"/>
  <c r="H489" s="1"/>
  <c r="J491" i="38"/>
  <c r="I494"/>
  <c r="H494" i="4" s="1"/>
  <c r="H493" s="1"/>
  <c r="H492" s="1"/>
  <c r="J494" i="38"/>
  <c r="I497"/>
  <c r="H497" i="4" s="1"/>
  <c r="H496" s="1"/>
  <c r="H495" s="1"/>
  <c r="J497" i="38"/>
  <c r="I533"/>
  <c r="J533"/>
  <c r="I536"/>
  <c r="J536"/>
  <c r="I539"/>
  <c r="J539"/>
  <c r="I589"/>
  <c r="H625" i="4" s="1"/>
  <c r="H624" s="1"/>
  <c r="H623" s="1"/>
  <c r="J589" i="38"/>
  <c r="I592"/>
  <c r="H639" i="4" s="1"/>
  <c r="H638" s="1"/>
  <c r="H637" s="1"/>
  <c r="J592" i="38"/>
  <c r="I597"/>
  <c r="H630" i="4" s="1"/>
  <c r="H629" s="1"/>
  <c r="J597" i="38"/>
  <c r="I600"/>
  <c r="H633" i="4" s="1"/>
  <c r="H632" s="1"/>
  <c r="H631" s="1"/>
  <c r="J600" i="38"/>
  <c r="I603"/>
  <c r="H636" i="4" s="1"/>
  <c r="H635" s="1"/>
  <c r="H634" s="1"/>
  <c r="I607" i="38"/>
  <c r="H643" i="4" s="1"/>
  <c r="H642" s="1"/>
  <c r="J607" i="38"/>
  <c r="I609"/>
  <c r="H645" i="4" s="1"/>
  <c r="H644" s="1"/>
  <c r="J609" i="38"/>
  <c r="I611"/>
  <c r="H647" i="4" s="1"/>
  <c r="H646" s="1"/>
  <c r="J611" i="38"/>
  <c r="I614"/>
  <c r="H650" i="4" s="1"/>
  <c r="H649" s="1"/>
  <c r="H648" s="1"/>
  <c r="J614" i="38"/>
  <c r="I617"/>
  <c r="H653" i="4" s="1"/>
  <c r="H652" s="1"/>
  <c r="H651" s="1"/>
  <c r="J617" i="38"/>
  <c r="I621"/>
  <c r="H657" i="4" s="1"/>
  <c r="H656" s="1"/>
  <c r="J621" i="38"/>
  <c r="I623"/>
  <c r="H659" i="4" s="1"/>
  <c r="H658" s="1"/>
  <c r="I625" i="38"/>
  <c r="H661" i="4" s="1"/>
  <c r="H660" s="1"/>
  <c r="J625" i="38"/>
  <c r="I628"/>
  <c r="H664" i="4" s="1"/>
  <c r="H663" s="1"/>
  <c r="H662" s="1"/>
  <c r="J628" i="38"/>
  <c r="I661"/>
  <c r="J661"/>
  <c r="I664"/>
  <c r="J664"/>
  <c r="I693"/>
  <c r="H603" i="4" s="1"/>
  <c r="H602" s="1"/>
  <c r="H601" s="1"/>
  <c r="H600" s="1"/>
  <c r="J693" i="38"/>
  <c r="I734"/>
  <c r="H705" i="4" s="1"/>
  <c r="H704" s="1"/>
  <c r="H703" s="1"/>
  <c r="J734" i="38"/>
  <c r="I737"/>
  <c r="H708" i="4" s="1"/>
  <c r="H707" s="1"/>
  <c r="H706" s="1"/>
  <c r="I740" i="38"/>
  <c r="H711" i="4" s="1"/>
  <c r="H710" s="1"/>
  <c r="H709" s="1"/>
  <c r="J740" i="38"/>
  <c r="I744"/>
  <c r="H715" i="4" s="1"/>
  <c r="H714" s="1"/>
  <c r="H713" s="1"/>
  <c r="J744" i="38"/>
  <c r="I747"/>
  <c r="H718" i="4" s="1"/>
  <c r="H717" s="1"/>
  <c r="H716" s="1"/>
  <c r="J747" i="38"/>
  <c r="I750"/>
  <c r="H721" i="4" s="1"/>
  <c r="H720" s="1"/>
  <c r="H719" s="1"/>
  <c r="J750" i="38"/>
  <c r="I756"/>
  <c r="H727" i="4" s="1"/>
  <c r="H726" s="1"/>
  <c r="J756" i="38"/>
  <c r="I758"/>
  <c r="H729" i="4" s="1"/>
  <c r="H728" s="1"/>
  <c r="J758" i="38"/>
  <c r="I785"/>
  <c r="H769" i="4" s="1"/>
  <c r="H768" s="1"/>
  <c r="H767" s="1"/>
  <c r="J785" i="38"/>
  <c r="I788"/>
  <c r="H756" i="4" s="1"/>
  <c r="H755" s="1"/>
  <c r="J788" i="38"/>
  <c r="I790"/>
  <c r="H758" i="4" s="1"/>
  <c r="H757" s="1"/>
  <c r="J790" i="38"/>
  <c r="I793"/>
  <c r="H761" i="4" s="1"/>
  <c r="H760" s="1"/>
  <c r="H759" s="1"/>
  <c r="J793" i="38"/>
  <c r="J796"/>
  <c r="I798"/>
  <c r="H766" i="4" s="1"/>
  <c r="H765" s="1"/>
  <c r="J798" i="38"/>
  <c r="I802"/>
  <c r="H773" i="4" s="1"/>
  <c r="H772" s="1"/>
  <c r="J802" i="38"/>
  <c r="I806"/>
  <c r="H777" i="4" s="1"/>
  <c r="H776" s="1"/>
  <c r="J806" i="38"/>
  <c r="I809"/>
  <c r="H780" i="4" s="1"/>
  <c r="H779" s="1"/>
  <c r="H778" s="1"/>
  <c r="J809" i="38"/>
  <c r="J812"/>
  <c r="J860"/>
  <c r="I863"/>
  <c r="H891" i="4" s="1"/>
  <c r="H890" s="1"/>
  <c r="H889" s="1"/>
  <c r="J863" i="38"/>
  <c r="I866"/>
  <c r="H894" i="4" s="1"/>
  <c r="H893" s="1"/>
  <c r="H892" s="1"/>
  <c r="J866" i="38"/>
  <c r="I870"/>
  <c r="H898" i="4" s="1"/>
  <c r="H897" s="1"/>
  <c r="H896" s="1"/>
  <c r="H895" s="1"/>
  <c r="J870" i="38"/>
  <c r="I878"/>
  <c r="J878"/>
  <c r="I880"/>
  <c r="J880"/>
  <c r="I881"/>
  <c r="J881"/>
  <c r="I886"/>
  <c r="J886"/>
  <c r="J898"/>
  <c r="I917"/>
  <c r="H247" i="4" s="1"/>
  <c r="H246" s="1"/>
  <c r="H245" s="1"/>
  <c r="H244" s="1"/>
  <c r="J917" i="38"/>
  <c r="I929"/>
  <c r="I932"/>
  <c r="H279" i="4" s="1"/>
  <c r="H278" s="1"/>
  <c r="J932" i="38"/>
  <c r="I934"/>
  <c r="H281" i="4" s="1"/>
  <c r="H280" s="1"/>
  <c r="J934" i="38"/>
  <c r="I953"/>
  <c r="H300" i="4" s="1"/>
  <c r="H299" s="1"/>
  <c r="H298" s="1"/>
  <c r="J953" i="38"/>
  <c r="I956"/>
  <c r="H303" i="4" s="1"/>
  <c r="H302" s="1"/>
  <c r="H301" s="1"/>
  <c r="J956" i="38"/>
  <c r="I972"/>
  <c r="H319" i="4" s="1"/>
  <c r="H318" s="1"/>
  <c r="H317" s="1"/>
  <c r="J972" i="38"/>
  <c r="I975"/>
  <c r="H322" i="4" s="1"/>
  <c r="H321" s="1"/>
  <c r="H320" s="1"/>
  <c r="I979" i="38"/>
  <c r="H326" i="4" s="1"/>
  <c r="H325" s="1"/>
  <c r="H324" s="1"/>
  <c r="J979" i="38"/>
  <c r="I982"/>
  <c r="H329" i="4" s="1"/>
  <c r="H328" s="1"/>
  <c r="H327" s="1"/>
  <c r="J982" i="38"/>
  <c r="I987"/>
  <c r="H334" i="4" s="1"/>
  <c r="H333" s="1"/>
  <c r="H332" s="1"/>
  <c r="H331" s="1"/>
  <c r="J987" i="38"/>
  <c r="I991"/>
  <c r="H338" i="4" s="1"/>
  <c r="H337" s="1"/>
  <c r="H336" s="1"/>
  <c r="H335" s="1"/>
  <c r="I1006" i="38"/>
  <c r="H353" i="4" s="1"/>
  <c r="H352" s="1"/>
  <c r="H351" s="1"/>
  <c r="H350" s="1"/>
  <c r="J1006" i="38"/>
  <c r="H443" i="47"/>
  <c r="H227"/>
  <c r="H226" s="1"/>
  <c r="H475"/>
  <c r="I475" s="1"/>
  <c r="J448"/>
  <c r="H447"/>
  <c r="H432"/>
  <c r="J432" s="1"/>
  <c r="H459"/>
  <c r="J443"/>
  <c r="H428"/>
  <c r="H427" s="1"/>
  <c r="H418"/>
  <c r="H417" s="1"/>
  <c r="H416" s="1"/>
  <c r="H454"/>
  <c r="I454" s="1"/>
  <c r="H439"/>
  <c r="I439" s="1"/>
  <c r="H423"/>
  <c r="H589"/>
  <c r="J589" s="1"/>
  <c r="H492"/>
  <c r="H491" s="1"/>
  <c r="H482"/>
  <c r="H755"/>
  <c r="H754" s="1"/>
  <c r="H741"/>
  <c r="H740" s="1"/>
  <c r="H733"/>
  <c r="H732" s="1"/>
  <c r="H719"/>
  <c r="H718" s="1"/>
  <c r="H705"/>
  <c r="H704" s="1"/>
  <c r="H699"/>
  <c r="H698" s="1"/>
  <c r="H697" s="1"/>
  <c r="H686"/>
  <c r="H685" s="1"/>
  <c r="H680"/>
  <c r="H673"/>
  <c r="H666"/>
  <c r="H660"/>
  <c r="H652"/>
  <c r="H646"/>
  <c r="H638"/>
  <c r="H630"/>
  <c r="H624"/>
  <c r="H623" s="1"/>
  <c r="H618"/>
  <c r="H612"/>
  <c r="H611" s="1"/>
  <c r="H606"/>
  <c r="H600"/>
  <c r="H599" s="1"/>
  <c r="H596"/>
  <c r="H582"/>
  <c r="H574"/>
  <c r="H568"/>
  <c r="H562"/>
  <c r="H554"/>
  <c r="H547"/>
  <c r="J542"/>
  <c r="H541"/>
  <c r="H539" s="1"/>
  <c r="H534"/>
  <c r="J529"/>
  <c r="H528"/>
  <c r="H527" s="1"/>
  <c r="H520"/>
  <c r="H519"/>
  <c r="H513"/>
  <c r="J507"/>
  <c r="H506"/>
  <c r="H505" s="1"/>
  <c r="H500"/>
  <c r="H499" s="1"/>
  <c r="J495"/>
  <c r="H494"/>
  <c r="H493" s="1"/>
  <c r="H484"/>
  <c r="I474"/>
  <c r="H438"/>
  <c r="H431"/>
  <c r="H430" s="1"/>
  <c r="H411"/>
  <c r="H410" s="1"/>
  <c r="H407"/>
  <c r="H406" s="1"/>
  <c r="H401"/>
  <c r="H400" s="1"/>
  <c r="H397"/>
  <c r="H390"/>
  <c r="H389" s="1"/>
  <c r="H382"/>
  <c r="H381" s="1"/>
  <c r="H380" s="1"/>
  <c r="H376"/>
  <c r="H375" s="1"/>
  <c r="H370"/>
  <c r="H369" s="1"/>
  <c r="H360"/>
  <c r="H355"/>
  <c r="H354" s="1"/>
  <c r="H350"/>
  <c r="H346"/>
  <c r="H342"/>
  <c r="H341" s="1"/>
  <c r="H336"/>
  <c r="H335" s="1"/>
  <c r="H334" s="1"/>
  <c r="H331"/>
  <c r="H330" s="1"/>
  <c r="H329" s="1"/>
  <c r="H323"/>
  <c r="H317"/>
  <c r="H316" s="1"/>
  <c r="H315" s="1"/>
  <c r="H314" s="1"/>
  <c r="H312"/>
  <c r="H311" s="1"/>
  <c r="H308"/>
  <c r="H307" s="1"/>
  <c r="H306" s="1"/>
  <c r="H303"/>
  <c r="H302" s="1"/>
  <c r="H297"/>
  <c r="H296" s="1"/>
  <c r="H292"/>
  <c r="H288"/>
  <c r="H287" s="1"/>
  <c r="H282"/>
  <c r="H281" s="1"/>
  <c r="H280" s="1"/>
  <c r="H277"/>
  <c r="H276" s="1"/>
  <c r="H271"/>
  <c r="H270" s="1"/>
  <c r="H267"/>
  <c r="H263"/>
  <c r="H262" s="1"/>
  <c r="H255"/>
  <c r="H252"/>
  <c r="H246"/>
  <c r="H245" s="1"/>
  <c r="H244" s="1"/>
  <c r="H238"/>
  <c r="H237" s="1"/>
  <c r="H232"/>
  <c r="H231" s="1"/>
  <c r="H230" s="1"/>
  <c r="H229" s="1"/>
  <c r="H220"/>
  <c r="H219" s="1"/>
  <c r="H213"/>
  <c r="H205"/>
  <c r="H198"/>
  <c r="H192"/>
  <c r="H191" s="1"/>
  <c r="H184"/>
  <c r="H183" s="1"/>
  <c r="H182" s="1"/>
  <c r="H181" s="1"/>
  <c r="H176"/>
  <c r="H168"/>
  <c r="H167" s="1"/>
  <c r="H160"/>
  <c r="H153"/>
  <c r="H146"/>
  <c r="H145" s="1"/>
  <c r="H143"/>
  <c r="H142" s="1"/>
  <c r="H137"/>
  <c r="H136" s="1"/>
  <c r="H135" s="1"/>
  <c r="H134" s="1"/>
  <c r="H130"/>
  <c r="H124"/>
  <c r="H123" s="1"/>
  <c r="H116"/>
  <c r="H112"/>
  <c r="H110"/>
  <c r="H109" s="1"/>
  <c r="H107"/>
  <c r="H99"/>
  <c r="H96"/>
  <c r="J91"/>
  <c r="H87"/>
  <c r="H86" s="1"/>
  <c r="H80"/>
  <c r="H75"/>
  <c r="H67"/>
  <c r="H61"/>
  <c r="H54"/>
  <c r="H53" s="1"/>
  <c r="H51"/>
  <c r="H43"/>
  <c r="H40"/>
  <c r="H37"/>
  <c r="H36" s="1"/>
  <c r="H34"/>
  <c r="H27"/>
  <c r="H23"/>
  <c r="H22" s="1"/>
  <c r="J756"/>
  <c r="I756"/>
  <c r="J742"/>
  <c r="I742"/>
  <c r="J734"/>
  <c r="I734"/>
  <c r="I726"/>
  <c r="J720"/>
  <c r="I720"/>
  <c r="I714"/>
  <c r="J706"/>
  <c r="I706"/>
  <c r="J700"/>
  <c r="I700"/>
  <c r="I692"/>
  <c r="J687"/>
  <c r="I687"/>
  <c r="J681"/>
  <c r="I681"/>
  <c r="J674"/>
  <c r="I674"/>
  <c r="J667"/>
  <c r="I667"/>
  <c r="J661"/>
  <c r="I661"/>
  <c r="J653"/>
  <c r="I653"/>
  <c r="J647"/>
  <c r="I647"/>
  <c r="J639"/>
  <c r="I639"/>
  <c r="J631"/>
  <c r="I631"/>
  <c r="J625"/>
  <c r="I625"/>
  <c r="J619"/>
  <c r="I619"/>
  <c r="J613"/>
  <c r="I613"/>
  <c r="J607"/>
  <c r="I607"/>
  <c r="J601"/>
  <c r="I601"/>
  <c r="J597"/>
  <c r="I597"/>
  <c r="I589"/>
  <c r="J583"/>
  <c r="I583"/>
  <c r="J575"/>
  <c r="I575"/>
  <c r="J569"/>
  <c r="I569"/>
  <c r="J563"/>
  <c r="I563"/>
  <c r="J555"/>
  <c r="I555"/>
  <c r="J548"/>
  <c r="I548"/>
  <c r="I542"/>
  <c r="J535"/>
  <c r="I535"/>
  <c r="I529"/>
  <c r="J521"/>
  <c r="I521"/>
  <c r="J514"/>
  <c r="I514"/>
  <c r="I507"/>
  <c r="J501"/>
  <c r="I501"/>
  <c r="I495"/>
  <c r="I492"/>
  <c r="J485"/>
  <c r="I485"/>
  <c r="J475"/>
  <c r="J470"/>
  <c r="I470"/>
  <c r="I466"/>
  <c r="I448"/>
  <c r="J433"/>
  <c r="I433"/>
  <c r="I432"/>
  <c r="I424"/>
  <c r="J418"/>
  <c r="J412"/>
  <c r="I412"/>
  <c r="J408"/>
  <c r="I408"/>
  <c r="J402"/>
  <c r="I402"/>
  <c r="J398"/>
  <c r="I398"/>
  <c r="J391"/>
  <c r="I391"/>
  <c r="J383"/>
  <c r="I383"/>
  <c r="J377"/>
  <c r="I377"/>
  <c r="J371"/>
  <c r="I371"/>
  <c r="J361"/>
  <c r="I361"/>
  <c r="J356"/>
  <c r="I356"/>
  <c r="J351"/>
  <c r="I351"/>
  <c r="J347"/>
  <c r="I347"/>
  <c r="J343"/>
  <c r="I343"/>
  <c r="J337"/>
  <c r="I337"/>
  <c r="J332"/>
  <c r="I332"/>
  <c r="I328"/>
  <c r="J324"/>
  <c r="I324"/>
  <c r="J318"/>
  <c r="I318"/>
  <c r="J313"/>
  <c r="I313"/>
  <c r="J309"/>
  <c r="J304"/>
  <c r="I304"/>
  <c r="J298"/>
  <c r="I298"/>
  <c r="J293"/>
  <c r="I293"/>
  <c r="J289"/>
  <c r="I289"/>
  <c r="J283"/>
  <c r="I283"/>
  <c r="J278"/>
  <c r="I278"/>
  <c r="J273"/>
  <c r="I273"/>
  <c r="J272"/>
  <c r="I272"/>
  <c r="J268"/>
  <c r="I268"/>
  <c r="J264"/>
  <c r="I264"/>
  <c r="J256"/>
  <c r="I256"/>
  <c r="J253"/>
  <c r="I253"/>
  <c r="J247"/>
  <c r="I247"/>
  <c r="J239"/>
  <c r="I239"/>
  <c r="J233"/>
  <c r="I233"/>
  <c r="J227"/>
  <c r="J221"/>
  <c r="I221"/>
  <c r="J214"/>
  <c r="I214"/>
  <c r="J206"/>
  <c r="I206"/>
  <c r="J199"/>
  <c r="I199"/>
  <c r="J193"/>
  <c r="I193"/>
  <c r="J185"/>
  <c r="I185"/>
  <c r="J177"/>
  <c r="I177"/>
  <c r="J169"/>
  <c r="I169"/>
  <c r="J161"/>
  <c r="I161"/>
  <c r="J154"/>
  <c r="I154"/>
  <c r="J147"/>
  <c r="I147"/>
  <c r="J144"/>
  <c r="I144"/>
  <c r="J138"/>
  <c r="I138"/>
  <c r="J131"/>
  <c r="I131"/>
  <c r="J125"/>
  <c r="I125"/>
  <c r="J117"/>
  <c r="I117"/>
  <c r="J111"/>
  <c r="I111"/>
  <c r="J108"/>
  <c r="I108"/>
  <c r="J100"/>
  <c r="I100"/>
  <c r="J97"/>
  <c r="I97"/>
  <c r="J88"/>
  <c r="I88"/>
  <c r="J81"/>
  <c r="I81"/>
  <c r="J76"/>
  <c r="I76"/>
  <c r="J68"/>
  <c r="I68"/>
  <c r="J62"/>
  <c r="I62"/>
  <c r="J55"/>
  <c r="I55"/>
  <c r="J52"/>
  <c r="I52"/>
  <c r="J44"/>
  <c r="I44"/>
  <c r="J38"/>
  <c r="I38"/>
  <c r="J28"/>
  <c r="I28"/>
  <c r="J24"/>
  <c r="I24"/>
  <c r="G59" i="38"/>
  <c r="H330" i="4" l="1"/>
  <c r="H323"/>
  <c r="H113"/>
  <c r="H210"/>
  <c r="E15" i="40"/>
  <c r="D9"/>
  <c r="E16"/>
  <c r="H655" i="4"/>
  <c r="H654" s="1"/>
  <c r="H132"/>
  <c r="H131" s="1"/>
  <c r="H124"/>
  <c r="H123" s="1"/>
  <c r="H122" s="1"/>
  <c r="H118" s="1"/>
  <c r="H277"/>
  <c r="H26"/>
  <c r="H22" s="1"/>
  <c r="H17" s="1"/>
  <c r="H16" s="1"/>
  <c r="F11" i="46" s="1"/>
  <c r="H80" i="4"/>
  <c r="H79" s="1"/>
  <c r="H78" s="1"/>
  <c r="H202"/>
  <c r="H899"/>
  <c r="F46" i="46"/>
  <c r="F45" s="1"/>
  <c r="G544" i="4"/>
  <c r="E13" i="46"/>
  <c r="H905" i="4"/>
  <c r="F48" i="46"/>
  <c r="F47" s="1"/>
  <c r="H191" i="4"/>
  <c r="H190"/>
  <c r="H189" s="1"/>
  <c r="H188" s="1"/>
  <c r="H187" s="1"/>
  <c r="G38"/>
  <c r="H276"/>
  <c r="H275" s="1"/>
  <c r="H274" s="1"/>
  <c r="H316"/>
  <c r="H297"/>
  <c r="H702"/>
  <c r="H488"/>
  <c r="H84"/>
  <c r="G17"/>
  <c r="G899"/>
  <c r="E46" i="46"/>
  <c r="E10"/>
  <c r="G906" i="4"/>
  <c r="G57"/>
  <c r="G749"/>
  <c r="H754"/>
  <c r="H712"/>
  <c r="H641"/>
  <c r="H640" s="1"/>
  <c r="H401"/>
  <c r="H40"/>
  <c r="H89"/>
  <c r="H88" s="1"/>
  <c r="H87" s="1"/>
  <c r="H61"/>
  <c r="G179"/>
  <c r="G807"/>
  <c r="H309" i="38"/>
  <c r="G145" i="4"/>
  <c r="H365" i="38"/>
  <c r="H364" s="1"/>
  <c r="G366" i="4"/>
  <c r="H391" i="38"/>
  <c r="H390" s="1"/>
  <c r="G392" i="4"/>
  <c r="G447"/>
  <c r="G486"/>
  <c r="H517" i="38"/>
  <c r="H516" s="1"/>
  <c r="G524" i="4"/>
  <c r="H563" i="38"/>
  <c r="H562" s="1"/>
  <c r="G572" i="4"/>
  <c r="G514"/>
  <c r="H675" i="38"/>
  <c r="H674" s="1"/>
  <c r="H673" s="1"/>
  <c r="G581" i="4"/>
  <c r="H726" i="38"/>
  <c r="H725" s="1"/>
  <c r="G698" i="4"/>
  <c r="G747"/>
  <c r="G877"/>
  <c r="H73" i="38"/>
  <c r="H72" s="1"/>
  <c r="G157" i="4"/>
  <c r="H93" i="38"/>
  <c r="H92" s="1"/>
  <c r="G177" i="4"/>
  <c r="G803"/>
  <c r="H193" i="38"/>
  <c r="G815" i="4"/>
  <c r="H211" i="38"/>
  <c r="H210" s="1"/>
  <c r="G838" i="4"/>
  <c r="H360" i="38"/>
  <c r="H359" s="1"/>
  <c r="G361" i="4"/>
  <c r="H388" i="38"/>
  <c r="H387" s="1"/>
  <c r="G389" i="4"/>
  <c r="H430" i="38"/>
  <c r="H429" s="1"/>
  <c r="G431" i="4"/>
  <c r="G456"/>
  <c r="H483" i="38"/>
  <c r="H482" s="1"/>
  <c r="G484" i="4"/>
  <c r="H514" i="38"/>
  <c r="H513" s="1"/>
  <c r="G521" i="4"/>
  <c r="H528" i="38"/>
  <c r="H527" s="1"/>
  <c r="G535" i="4"/>
  <c r="H560" i="38"/>
  <c r="H559" s="1"/>
  <c r="G569" i="4"/>
  <c r="H579" i="38"/>
  <c r="H578" s="1"/>
  <c r="G610" i="4"/>
  <c r="H650" i="38"/>
  <c r="H649" s="1"/>
  <c r="H645" s="1"/>
  <c r="G532" i="4"/>
  <c r="G551"/>
  <c r="H685" i="38"/>
  <c r="H684" s="1"/>
  <c r="G591" i="4"/>
  <c r="G678"/>
  <c r="G694"/>
  <c r="H771" i="38"/>
  <c r="H770" s="1"/>
  <c r="G743" i="4"/>
  <c r="H830" i="38"/>
  <c r="H829" s="1"/>
  <c r="G859" i="4"/>
  <c r="G872"/>
  <c r="H907" i="38"/>
  <c r="H906" s="1"/>
  <c r="G238" i="4"/>
  <c r="G295"/>
  <c r="H967" i="38"/>
  <c r="H966" s="1"/>
  <c r="G315" i="4"/>
  <c r="H1001" i="38"/>
  <c r="H1000" s="1"/>
  <c r="G349" i="4"/>
  <c r="G161"/>
  <c r="G172"/>
  <c r="G261"/>
  <c r="H161" i="38"/>
  <c r="G616" i="4"/>
  <c r="H177" i="38"/>
  <c r="H176" s="1"/>
  <c r="G799" i="4"/>
  <c r="G812"/>
  <c r="H206" i="38"/>
  <c r="G833" i="4"/>
  <c r="G371"/>
  <c r="G385"/>
  <c r="H399" i="38"/>
  <c r="H398" s="1"/>
  <c r="G400" i="4"/>
  <c r="H427" i="38"/>
  <c r="H426" s="1"/>
  <c r="G428" i="4"/>
  <c r="G439"/>
  <c r="G453"/>
  <c r="H466" i="38"/>
  <c r="H465" s="1"/>
  <c r="G467" i="4"/>
  <c r="G480"/>
  <c r="H555" i="38"/>
  <c r="H554" s="1"/>
  <c r="G564" i="4"/>
  <c r="H572" i="38"/>
  <c r="H571" s="1"/>
  <c r="G599" i="4"/>
  <c r="H682" i="38"/>
  <c r="H681" s="1"/>
  <c r="G588" i="4"/>
  <c r="H703" i="38"/>
  <c r="H702" s="1"/>
  <c r="G675" i="4"/>
  <c r="G691"/>
  <c r="G737"/>
  <c r="G855"/>
  <c r="G867"/>
  <c r="H855" i="38"/>
  <c r="H854" s="1"/>
  <c r="G884" i="4"/>
  <c r="H904" i="38"/>
  <c r="H903" s="1"/>
  <c r="G235" i="4"/>
  <c r="H923" i="38"/>
  <c r="H922" s="1"/>
  <c r="H921" s="1"/>
  <c r="H920" s="1"/>
  <c r="G272" i="4"/>
  <c r="H945" i="38"/>
  <c r="H944" s="1"/>
  <c r="G293" i="4"/>
  <c r="G309"/>
  <c r="H998" i="38"/>
  <c r="H997" s="1"/>
  <c r="H996" s="1"/>
  <c r="G346" i="4"/>
  <c r="G164"/>
  <c r="G149"/>
  <c r="G512"/>
  <c r="H135" i="38"/>
  <c r="H134" s="1"/>
  <c r="G254" i="4"/>
  <c r="H213" i="38"/>
  <c r="G841" i="4"/>
  <c r="G379"/>
  <c r="H419" i="38"/>
  <c r="H418" s="1"/>
  <c r="G420" i="4"/>
  <c r="G433"/>
  <c r="H459" i="38"/>
  <c r="H458" s="1"/>
  <c r="G460" i="4"/>
  <c r="H474" i="38"/>
  <c r="H473" s="1"/>
  <c r="G475" i="4"/>
  <c r="H503" i="38"/>
  <c r="H502" s="1"/>
  <c r="G504" i="4"/>
  <c r="H550" i="38"/>
  <c r="G559" i="4"/>
  <c r="H583" i="38"/>
  <c r="H582" s="1"/>
  <c r="H581" s="1"/>
  <c r="G620" i="4"/>
  <c r="H711" i="38"/>
  <c r="H710" s="1"/>
  <c r="H709" s="1"/>
  <c r="G683" i="4"/>
  <c r="G861"/>
  <c r="G242"/>
  <c r="H111" i="38"/>
  <c r="H110" s="1"/>
  <c r="H109" s="1"/>
  <c r="H108" s="1"/>
  <c r="G200" i="4"/>
  <c r="H145" i="38"/>
  <c r="G264" i="4"/>
  <c r="G141"/>
  <c r="H374" i="38"/>
  <c r="H373" s="1"/>
  <c r="G375" i="4"/>
  <c r="H416" i="38"/>
  <c r="H415" s="1"/>
  <c r="G417" i="4"/>
  <c r="H444" i="38"/>
  <c r="H443" s="1"/>
  <c r="G445" i="4"/>
  <c r="H471" i="38"/>
  <c r="H470" s="1"/>
  <c r="G472" i="4"/>
  <c r="H545" i="38"/>
  <c r="H544" s="1"/>
  <c r="H543" s="1"/>
  <c r="H542" s="1"/>
  <c r="G554" i="4"/>
  <c r="H140" i="38"/>
  <c r="H139" s="1"/>
  <c r="G259" i="4"/>
  <c r="H159" i="38"/>
  <c r="G614" i="4"/>
  <c r="G795"/>
  <c r="H188" i="38"/>
  <c r="G810" i="4"/>
  <c r="G830"/>
  <c r="H314" i="38"/>
  <c r="H313" s="1"/>
  <c r="H312" s="1"/>
  <c r="G185" i="4"/>
  <c r="H368" i="38"/>
  <c r="H367" s="1"/>
  <c r="G369" i="4"/>
  <c r="G382"/>
  <c r="G394"/>
  <c r="H424" i="38"/>
  <c r="H423" s="1"/>
  <c r="G425" i="4"/>
  <c r="H436" i="38"/>
  <c r="H435" s="1"/>
  <c r="G437" i="4"/>
  <c r="G462"/>
  <c r="G477"/>
  <c r="G506"/>
  <c r="H522" i="38"/>
  <c r="H521" s="1"/>
  <c r="G529" i="4"/>
  <c r="H552" i="38"/>
  <c r="G561" i="4"/>
  <c r="H567" i="38"/>
  <c r="H566" s="1"/>
  <c r="H565" s="1"/>
  <c r="G576" i="4"/>
  <c r="G517"/>
  <c r="G584"/>
  <c r="H700" i="38"/>
  <c r="H699" s="1"/>
  <c r="M695" s="1"/>
  <c r="G672" i="4"/>
  <c r="G686"/>
  <c r="H729" i="38"/>
  <c r="H728" s="1"/>
  <c r="G701" i="4"/>
  <c r="H764" i="38"/>
  <c r="G736" i="4"/>
  <c r="G819"/>
  <c r="G864"/>
  <c r="H852" i="38"/>
  <c r="H851" s="1"/>
  <c r="G881" i="4"/>
  <c r="H893" i="38"/>
  <c r="H892" s="1"/>
  <c r="G224" i="4"/>
  <c r="G287"/>
  <c r="H84" i="38"/>
  <c r="H83" s="1"/>
  <c r="G168" i="4"/>
  <c r="G152"/>
  <c r="H689" i="38"/>
  <c r="H439"/>
  <c r="H438" s="1"/>
  <c r="H447"/>
  <c r="H446" s="1"/>
  <c r="H456"/>
  <c r="H455" s="1"/>
  <c r="H480"/>
  <c r="H479" s="1"/>
  <c r="H766"/>
  <c r="H776"/>
  <c r="H775" s="1"/>
  <c r="H89"/>
  <c r="H88" s="1"/>
  <c r="H96"/>
  <c r="H95" s="1"/>
  <c r="H371"/>
  <c r="H370" s="1"/>
  <c r="H379"/>
  <c r="H378" s="1"/>
  <c r="H394"/>
  <c r="H393" s="1"/>
  <c r="H511"/>
  <c r="H510" s="1"/>
  <c r="H849"/>
  <c r="H848" s="1"/>
  <c r="H336"/>
  <c r="H332" s="1"/>
  <c r="H876"/>
  <c r="H875" s="1"/>
  <c r="H874" s="1"/>
  <c r="H950"/>
  <c r="H327"/>
  <c r="H14"/>
  <c r="H13" s="1"/>
  <c r="H12" s="1"/>
  <c r="H659"/>
  <c r="H234"/>
  <c r="H495"/>
  <c r="H861"/>
  <c r="H283"/>
  <c r="H282" s="1"/>
  <c r="H341"/>
  <c r="H738"/>
  <c r="H269"/>
  <c r="I41"/>
  <c r="J44"/>
  <c r="H48"/>
  <c r="J55"/>
  <c r="H54"/>
  <c r="H58"/>
  <c r="J61"/>
  <c r="H66"/>
  <c r="H69"/>
  <c r="H68" s="1"/>
  <c r="H78"/>
  <c r="H77" s="1"/>
  <c r="H81"/>
  <c r="H39"/>
  <c r="H240"/>
  <c r="H261"/>
  <c r="H322"/>
  <c r="J323"/>
  <c r="H348"/>
  <c r="H593"/>
  <c r="H605"/>
  <c r="H626"/>
  <c r="H657"/>
  <c r="I658"/>
  <c r="H539" i="4" s="1"/>
  <c r="H538" s="1"/>
  <c r="H537" s="1"/>
  <c r="I804" i="38"/>
  <c r="H775" i="4" s="1"/>
  <c r="H774" s="1"/>
  <c r="H771" s="1"/>
  <c r="H803" i="38"/>
  <c r="H811"/>
  <c r="I812"/>
  <c r="H783" i="4" s="1"/>
  <c r="H782" s="1"/>
  <c r="H781" s="1"/>
  <c r="H294" i="38"/>
  <c r="J295"/>
  <c r="H602"/>
  <c r="J603"/>
  <c r="H690"/>
  <c r="H781"/>
  <c r="I782"/>
  <c r="H753" i="4" s="1"/>
  <c r="H752" s="1"/>
  <c r="H751" s="1"/>
  <c r="H1004" i="38"/>
  <c r="H29"/>
  <c r="J30"/>
  <c r="I30"/>
  <c r="H50" i="4" s="1"/>
  <c r="H49" s="1"/>
  <c r="H48" s="1"/>
  <c r="H37" i="38"/>
  <c r="J38"/>
  <c r="I38"/>
  <c r="H70" i="4" s="1"/>
  <c r="H69" s="1"/>
  <c r="H68" s="1"/>
  <c r="H186" i="38"/>
  <c r="H253"/>
  <c r="I292"/>
  <c r="H83" i="4" s="1"/>
  <c r="H82" s="1"/>
  <c r="H291" i="38"/>
  <c r="H462"/>
  <c r="H670"/>
  <c r="H707"/>
  <c r="H715"/>
  <c r="H736"/>
  <c r="J737"/>
  <c r="I796"/>
  <c r="H764" i="4" s="1"/>
  <c r="H763" s="1"/>
  <c r="H762" s="1"/>
  <c r="H795" i="38"/>
  <c r="H819"/>
  <c r="H884"/>
  <c r="H912"/>
  <c r="H928"/>
  <c r="J929"/>
  <c r="H948"/>
  <c r="H980"/>
  <c r="H976" s="1"/>
  <c r="I323"/>
  <c r="H109" i="4" s="1"/>
  <c r="H108" s="1"/>
  <c r="H103" s="1"/>
  <c r="H506" i="38"/>
  <c r="H732"/>
  <c r="H791"/>
  <c r="J658"/>
  <c r="I595"/>
  <c r="H628" i="4" s="1"/>
  <c r="H627" s="1"/>
  <c r="H626" s="1"/>
  <c r="H622" s="1"/>
  <c r="H621" s="1"/>
  <c r="I233" i="38"/>
  <c r="H95" i="4" s="1"/>
  <c r="H94" s="1"/>
  <c r="H93" s="1"/>
  <c r="H204" i="38"/>
  <c r="H638"/>
  <c r="H679"/>
  <c r="H962"/>
  <c r="H974"/>
  <c r="H990"/>
  <c r="H100"/>
  <c r="H195"/>
  <c r="H219"/>
  <c r="I220"/>
  <c r="H846" i="4" s="1"/>
  <c r="H845" s="1"/>
  <c r="H844" s="1"/>
  <c r="H843" s="1"/>
  <c r="H842" s="1"/>
  <c r="H248" i="38"/>
  <c r="H274"/>
  <c r="H382"/>
  <c r="H405"/>
  <c r="H401" s="1"/>
  <c r="H486"/>
  <c r="H723"/>
  <c r="H745"/>
  <c r="H741" s="1"/>
  <c r="H827"/>
  <c r="H839"/>
  <c r="H859"/>
  <c r="I860"/>
  <c r="H888" i="4" s="1"/>
  <c r="H887" s="1"/>
  <c r="H886" s="1"/>
  <c r="H885" s="1"/>
  <c r="H940" i="38"/>
  <c r="J43"/>
  <c r="I43"/>
  <c r="H60" i="4" s="1"/>
  <c r="H114" i="38"/>
  <c r="H174"/>
  <c r="H266"/>
  <c r="H453"/>
  <c r="H720"/>
  <c r="H753"/>
  <c r="I754"/>
  <c r="H725" i="4" s="1"/>
  <c r="H724" s="1"/>
  <c r="H723" s="1"/>
  <c r="H722" s="1"/>
  <c r="H836" i="38"/>
  <c r="H868"/>
  <c r="H895"/>
  <c r="H897"/>
  <c r="H126"/>
  <c r="H166"/>
  <c r="H191"/>
  <c r="H306"/>
  <c r="K13" i="56" s="1"/>
  <c r="H318" i="38"/>
  <c r="J319"/>
  <c r="H385"/>
  <c r="H433"/>
  <c r="H477"/>
  <c r="H489"/>
  <c r="H534"/>
  <c r="G542" i="4" s="1"/>
  <c r="H622" i="38"/>
  <c r="J623"/>
  <c r="H642"/>
  <c r="H844"/>
  <c r="H930"/>
  <c r="H143"/>
  <c r="H232"/>
  <c r="H287"/>
  <c r="H786"/>
  <c r="I898"/>
  <c r="H228" i="4" s="1"/>
  <c r="H227" s="1"/>
  <c r="H226" s="1"/>
  <c r="H225" s="1"/>
  <c r="J804" i="38"/>
  <c r="J782"/>
  <c r="J754"/>
  <c r="J220"/>
  <c r="H20"/>
  <c r="J27"/>
  <c r="I27"/>
  <c r="H47" i="4" s="1"/>
  <c r="H46" s="1"/>
  <c r="H45" s="1"/>
  <c r="J35" i="38"/>
  <c r="I35"/>
  <c r="H55" i="4" s="1"/>
  <c r="H54" s="1"/>
  <c r="H53" s="1"/>
  <c r="H120" i="38"/>
  <c r="I121"/>
  <c r="H209" i="4" s="1"/>
  <c r="H208" s="1"/>
  <c r="H207" s="1"/>
  <c r="H150" i="38"/>
  <c r="H182"/>
  <c r="H645" i="47"/>
  <c r="H644" s="1"/>
  <c r="H643" s="1"/>
  <c r="H731"/>
  <c r="H730" s="1"/>
  <c r="H595"/>
  <c r="H594" s="1"/>
  <c r="H310"/>
  <c r="H159"/>
  <c r="H225"/>
  <c r="H224" s="1"/>
  <c r="I227"/>
  <c r="H446"/>
  <c r="H301"/>
  <c r="H300" s="1"/>
  <c r="H269"/>
  <c r="J447"/>
  <c r="I447"/>
  <c r="H33"/>
  <c r="H21"/>
  <c r="J460"/>
  <c r="I460"/>
  <c r="H442"/>
  <c r="J428"/>
  <c r="I428"/>
  <c r="H415"/>
  <c r="H414" s="1"/>
  <c r="I418"/>
  <c r="H368"/>
  <c r="H345"/>
  <c r="H453"/>
  <c r="J454"/>
  <c r="J439"/>
  <c r="H422"/>
  <c r="H421" s="1"/>
  <c r="J424"/>
  <c r="H588"/>
  <c r="J492"/>
  <c r="H659"/>
  <c r="H658" s="1"/>
  <c r="H79"/>
  <c r="H243"/>
  <c r="H242" s="1"/>
  <c r="H175"/>
  <c r="H174" s="1"/>
  <c r="H533"/>
  <c r="H537"/>
  <c r="H672"/>
  <c r="H671" s="1"/>
  <c r="H739"/>
  <c r="H696"/>
  <c r="H684"/>
  <c r="H679"/>
  <c r="H561"/>
  <c r="H546"/>
  <c r="H545" s="1"/>
  <c r="H512"/>
  <c r="H483"/>
  <c r="H409"/>
  <c r="H405"/>
  <c r="H388"/>
  <c r="H353"/>
  <c r="H340"/>
  <c r="H322"/>
  <c r="H295"/>
  <c r="H291"/>
  <c r="H290" s="1"/>
  <c r="H286"/>
  <c r="H275"/>
  <c r="H251"/>
  <c r="H236"/>
  <c r="H218"/>
  <c r="H217" s="1"/>
  <c r="H190"/>
  <c r="H166"/>
  <c r="H141"/>
  <c r="H140" s="1"/>
  <c r="H129"/>
  <c r="H115"/>
  <c r="H74"/>
  <c r="H73" s="1"/>
  <c r="J32"/>
  <c r="H31"/>
  <c r="J16"/>
  <c r="H15"/>
  <c r="H26"/>
  <c r="H39"/>
  <c r="H60"/>
  <c r="H122"/>
  <c r="H133"/>
  <c r="H228"/>
  <c r="H261"/>
  <c r="H305"/>
  <c r="H359"/>
  <c r="H379"/>
  <c r="H396"/>
  <c r="H465"/>
  <c r="J466"/>
  <c r="H481"/>
  <c r="I482"/>
  <c r="J482"/>
  <c r="H553"/>
  <c r="H567"/>
  <c r="H50"/>
  <c r="H95"/>
  <c r="H106"/>
  <c r="H152"/>
  <c r="H189"/>
  <c r="H204"/>
  <c r="H266"/>
  <c r="J328"/>
  <c r="H327"/>
  <c r="H429"/>
  <c r="H581"/>
  <c r="H598"/>
  <c r="H622"/>
  <c r="I16"/>
  <c r="I32"/>
  <c r="H90"/>
  <c r="I91"/>
  <c r="H254"/>
  <c r="H279"/>
  <c r="H366"/>
  <c r="J367"/>
  <c r="I367"/>
  <c r="H399"/>
  <c r="H437"/>
  <c r="H458"/>
  <c r="H473"/>
  <c r="J474"/>
  <c r="J748"/>
  <c r="H747"/>
  <c r="I748"/>
  <c r="H35"/>
  <c r="H42"/>
  <c r="H66"/>
  <c r="H98"/>
  <c r="H180"/>
  <c r="H197"/>
  <c r="H212"/>
  <c r="H349"/>
  <c r="H374"/>
  <c r="H426"/>
  <c r="H498"/>
  <c r="H610"/>
  <c r="H717"/>
  <c r="H753"/>
  <c r="H468"/>
  <c r="H469"/>
  <c r="H691"/>
  <c r="J692"/>
  <c r="H703"/>
  <c r="H713"/>
  <c r="J714"/>
  <c r="I309"/>
  <c r="I443"/>
  <c r="H333"/>
  <c r="H490"/>
  <c r="H489" s="1"/>
  <c r="H573"/>
  <c r="H504"/>
  <c r="H518"/>
  <c r="H526"/>
  <c r="H538"/>
  <c r="H605"/>
  <c r="H617"/>
  <c r="H629"/>
  <c r="H637"/>
  <c r="H651"/>
  <c r="H665"/>
  <c r="H725"/>
  <c r="J726"/>
  <c r="G621" i="38"/>
  <c r="G491"/>
  <c r="G470" i="47"/>
  <c r="G466"/>
  <c r="G475"/>
  <c r="H308" i="38" l="1"/>
  <c r="K14" i="56"/>
  <c r="H102" i="4"/>
  <c r="M498" i="38"/>
  <c r="M631"/>
  <c r="H549"/>
  <c r="H548" s="1"/>
  <c r="H201" i="4"/>
  <c r="H209" i="38"/>
  <c r="H208" s="1"/>
  <c r="H558"/>
  <c r="H770" i="4"/>
  <c r="H142" i="38"/>
  <c r="H138" s="1"/>
  <c r="H750" i="4"/>
  <c r="H749" s="1"/>
  <c r="H81"/>
  <c r="H77" s="1"/>
  <c r="H72" s="1"/>
  <c r="H71" s="1"/>
  <c r="F13" i="46" s="1"/>
  <c r="H273" i="4"/>
  <c r="G541"/>
  <c r="G16"/>
  <c r="H186"/>
  <c r="F17" i="46"/>
  <c r="F16" s="1"/>
  <c r="H39" i="4"/>
  <c r="H38" s="1"/>
  <c r="H414" i="38"/>
  <c r="H413" s="1"/>
  <c r="G56" i="4"/>
  <c r="G543"/>
  <c r="G905"/>
  <c r="E48" i="46"/>
  <c r="E45"/>
  <c r="H59" i="4"/>
  <c r="H763" i="38"/>
  <c r="H762" s="1"/>
  <c r="H158"/>
  <c r="H157" s="1"/>
  <c r="H902"/>
  <c r="H901" s="1"/>
  <c r="G880" i="4"/>
  <c r="G700"/>
  <c r="G671"/>
  <c r="G516"/>
  <c r="G560"/>
  <c r="G424"/>
  <c r="G381"/>
  <c r="G184"/>
  <c r="G809"/>
  <c r="G613"/>
  <c r="G553"/>
  <c r="G444"/>
  <c r="G374"/>
  <c r="G263"/>
  <c r="G682"/>
  <c r="G558"/>
  <c r="G474"/>
  <c r="G432"/>
  <c r="G253"/>
  <c r="G866"/>
  <c r="G479"/>
  <c r="G160"/>
  <c r="G693"/>
  <c r="G455"/>
  <c r="G802"/>
  <c r="G746"/>
  <c r="G485"/>
  <c r="G178"/>
  <c r="G863"/>
  <c r="G685"/>
  <c r="G794"/>
  <c r="G140"/>
  <c r="G148"/>
  <c r="G345"/>
  <c r="G292"/>
  <c r="G234"/>
  <c r="G674"/>
  <c r="G598"/>
  <c r="G452"/>
  <c r="G427"/>
  <c r="G384"/>
  <c r="G832"/>
  <c r="G829" s="1"/>
  <c r="G798"/>
  <c r="G314"/>
  <c r="G237"/>
  <c r="G858"/>
  <c r="G590"/>
  <c r="G531"/>
  <c r="G568"/>
  <c r="G520"/>
  <c r="G388"/>
  <c r="G837"/>
  <c r="G156"/>
  <c r="G580"/>
  <c r="G571"/>
  <c r="G391"/>
  <c r="G144"/>
  <c r="H688" i="38"/>
  <c r="H687" s="1"/>
  <c r="G594" i="4"/>
  <c r="G167"/>
  <c r="G223"/>
  <c r="G735"/>
  <c r="G583"/>
  <c r="G575"/>
  <c r="G528"/>
  <c r="G476"/>
  <c r="G436"/>
  <c r="G393"/>
  <c r="G368"/>
  <c r="G258"/>
  <c r="G471"/>
  <c r="G416"/>
  <c r="G199"/>
  <c r="G860"/>
  <c r="G619"/>
  <c r="G503"/>
  <c r="G459"/>
  <c r="G419"/>
  <c r="G840"/>
  <c r="G511"/>
  <c r="G163"/>
  <c r="G854"/>
  <c r="G690"/>
  <c r="G438"/>
  <c r="G370"/>
  <c r="G171"/>
  <c r="G294"/>
  <c r="G871"/>
  <c r="G677"/>
  <c r="G513"/>
  <c r="G446"/>
  <c r="G151"/>
  <c r="G286"/>
  <c r="G818"/>
  <c r="G505"/>
  <c r="G461"/>
  <c r="G241"/>
  <c r="G378"/>
  <c r="G308"/>
  <c r="G271"/>
  <c r="G883"/>
  <c r="G587"/>
  <c r="G563"/>
  <c r="G466"/>
  <c r="G399"/>
  <c r="G615"/>
  <c r="G348"/>
  <c r="G742"/>
  <c r="G609"/>
  <c r="G534"/>
  <c r="G483"/>
  <c r="G430"/>
  <c r="G360"/>
  <c r="G814"/>
  <c r="G176"/>
  <c r="G876"/>
  <c r="G697"/>
  <c r="G523"/>
  <c r="G365"/>
  <c r="H91" i="38"/>
  <c r="H285" i="47"/>
  <c r="H774" i="38"/>
  <c r="H397"/>
  <c r="H358"/>
  <c r="H965"/>
  <c r="H570"/>
  <c r="H311"/>
  <c r="H53"/>
  <c r="H57"/>
  <c r="H65"/>
  <c r="H64" s="1"/>
  <c r="H80"/>
  <c r="H76" s="1"/>
  <c r="H476"/>
  <c r="H122"/>
  <c r="H867"/>
  <c r="H719"/>
  <c r="H557"/>
  <c r="H452"/>
  <c r="H939"/>
  <c r="H838"/>
  <c r="H485"/>
  <c r="H381"/>
  <c r="H247"/>
  <c r="H989"/>
  <c r="H947"/>
  <c r="H883"/>
  <c r="H714"/>
  <c r="H698"/>
  <c r="H644"/>
  <c r="H185"/>
  <c r="H36"/>
  <c r="H133"/>
  <c r="H800"/>
  <c r="H891"/>
  <c r="H847"/>
  <c r="H769"/>
  <c r="H619"/>
  <c r="H190"/>
  <c r="H165"/>
  <c r="H87"/>
  <c r="H11"/>
  <c r="H678"/>
  <c r="H203"/>
  <c r="H794"/>
  <c r="H290"/>
  <c r="H28"/>
  <c r="H1003"/>
  <c r="H71"/>
  <c r="H810"/>
  <c r="H656"/>
  <c r="H604"/>
  <c r="H577"/>
  <c r="H520"/>
  <c r="H347"/>
  <c r="H181"/>
  <c r="H149"/>
  <c r="H231"/>
  <c r="H488"/>
  <c r="H384"/>
  <c r="H317"/>
  <c r="H305"/>
  <c r="H835"/>
  <c r="H752"/>
  <c r="H464"/>
  <c r="H265"/>
  <c r="H260" s="1"/>
  <c r="H858"/>
  <c r="H826"/>
  <c r="H722"/>
  <c r="H218"/>
  <c r="H961"/>
  <c r="H927"/>
  <c r="H911"/>
  <c r="H818"/>
  <c r="H735"/>
  <c r="H731" s="1"/>
  <c r="H706"/>
  <c r="H669"/>
  <c r="H461"/>
  <c r="H995"/>
  <c r="H530"/>
  <c r="H509"/>
  <c r="H363"/>
  <c r="H432"/>
  <c r="H119"/>
  <c r="H113" s="1"/>
  <c r="H873"/>
  <c r="H843"/>
  <c r="H641"/>
  <c r="H896"/>
  <c r="H173"/>
  <c r="H99"/>
  <c r="H973"/>
  <c r="H505"/>
  <c r="H252"/>
  <c r="H780"/>
  <c r="H601"/>
  <c r="H293"/>
  <c r="H107"/>
  <c r="H729" i="47"/>
  <c r="H728" s="1"/>
  <c r="H532"/>
  <c r="H531" s="1"/>
  <c r="H165"/>
  <c r="H164" s="1"/>
  <c r="H441"/>
  <c r="H440" s="1"/>
  <c r="H294"/>
  <c r="H158"/>
  <c r="H128"/>
  <c r="H127" s="1"/>
  <c r="H223"/>
  <c r="H445"/>
  <c r="H413"/>
  <c r="H344"/>
  <c r="H452"/>
  <c r="H587"/>
  <c r="H657"/>
  <c r="H656" s="1"/>
  <c r="H78"/>
  <c r="H77" s="1"/>
  <c r="H173"/>
  <c r="H738"/>
  <c r="H695"/>
  <c r="H683"/>
  <c r="H678"/>
  <c r="H560"/>
  <c r="H511"/>
  <c r="H404"/>
  <c r="H387"/>
  <c r="H352"/>
  <c r="H321"/>
  <c r="H299"/>
  <c r="H274"/>
  <c r="H235"/>
  <c r="H114"/>
  <c r="H628"/>
  <c r="H604"/>
  <c r="H517"/>
  <c r="H467"/>
  <c r="H211"/>
  <c r="H472"/>
  <c r="H326"/>
  <c r="H105"/>
  <c r="H49"/>
  <c r="H566"/>
  <c r="H72"/>
  <c r="H572"/>
  <c r="H716"/>
  <c r="H425"/>
  <c r="H420" s="1"/>
  <c r="H373"/>
  <c r="H179"/>
  <c r="H65"/>
  <c r="H265"/>
  <c r="H260" s="1"/>
  <c r="H188"/>
  <c r="H552"/>
  <c r="H464"/>
  <c r="H14"/>
  <c r="H724"/>
  <c r="H664"/>
  <c r="H636"/>
  <c r="H616"/>
  <c r="H525"/>
  <c r="H503"/>
  <c r="H712"/>
  <c r="H690"/>
  <c r="H752"/>
  <c r="H41"/>
  <c r="H642"/>
  <c r="H457"/>
  <c r="H621"/>
  <c r="H580"/>
  <c r="H203"/>
  <c r="H139"/>
  <c r="H132" s="1"/>
  <c r="H395"/>
  <c r="H358"/>
  <c r="H25"/>
  <c r="H216"/>
  <c r="H497"/>
  <c r="H196"/>
  <c r="H436"/>
  <c r="H89"/>
  <c r="H94"/>
  <c r="H670"/>
  <c r="H480"/>
  <c r="H59"/>
  <c r="H30"/>
  <c r="H250"/>
  <c r="H650"/>
  <c r="H702"/>
  <c r="H348"/>
  <c r="H746"/>
  <c r="H544"/>
  <c r="H365"/>
  <c r="H151"/>
  <c r="H593"/>
  <c r="H378"/>
  <c r="H609"/>
  <c r="H121"/>
  <c r="G782" i="38"/>
  <c r="G589"/>
  <c r="G230"/>
  <c r="G35"/>
  <c r="G785"/>
  <c r="F769" i="4" s="1"/>
  <c r="G592" i="38"/>
  <c r="F639" i="4" s="1"/>
  <c r="G233" i="38"/>
  <c r="F95" i="4" s="1"/>
  <c r="G38" i="38"/>
  <c r="F70" i="4" s="1"/>
  <c r="A769"/>
  <c r="A768"/>
  <c r="D768"/>
  <c r="D769"/>
  <c r="D767"/>
  <c r="A767"/>
  <c r="D639"/>
  <c r="D638"/>
  <c r="D637"/>
  <c r="A638"/>
  <c r="A639"/>
  <c r="A637"/>
  <c r="D94"/>
  <c r="D95"/>
  <c r="D93"/>
  <c r="A94"/>
  <c r="A95"/>
  <c r="A93"/>
  <c r="D69"/>
  <c r="D70"/>
  <c r="D68"/>
  <c r="A69"/>
  <c r="A70"/>
  <c r="A68"/>
  <c r="G232" i="38"/>
  <c r="G231" s="1"/>
  <c r="K15" i="56" l="1"/>
  <c r="M411" i="38"/>
  <c r="H943"/>
  <c r="H942" s="1"/>
  <c r="M873"/>
  <c r="F69" i="4"/>
  <c r="I70"/>
  <c r="F638"/>
  <c r="I639"/>
  <c r="F94"/>
  <c r="I95"/>
  <c r="G540"/>
  <c r="G52"/>
  <c r="E11" i="46"/>
  <c r="F768" i="4"/>
  <c r="I769"/>
  <c r="E47" i="46"/>
  <c r="G828" i="4"/>
  <c r="G741"/>
  <c r="G817"/>
  <c r="G510"/>
  <c r="G257"/>
  <c r="G574"/>
  <c r="G734"/>
  <c r="G579"/>
  <c r="G519"/>
  <c r="G857"/>
  <c r="G313"/>
  <c r="G426"/>
  <c r="G801"/>
  <c r="G252"/>
  <c r="G473"/>
  <c r="G681"/>
  <c r="G670"/>
  <c r="G429"/>
  <c r="G465"/>
  <c r="G586"/>
  <c r="G676"/>
  <c r="G836"/>
  <c r="G344"/>
  <c r="G373"/>
  <c r="G550"/>
  <c r="G557"/>
  <c r="G175"/>
  <c r="G359"/>
  <c r="G482"/>
  <c r="G347"/>
  <c r="G398"/>
  <c r="G562"/>
  <c r="G307"/>
  <c r="G870"/>
  <c r="G170"/>
  <c r="G839"/>
  <c r="G458"/>
  <c r="G618"/>
  <c r="G198"/>
  <c r="G470"/>
  <c r="G367"/>
  <c r="G435"/>
  <c r="G222"/>
  <c r="G143"/>
  <c r="G139" s="1"/>
  <c r="G570"/>
  <c r="G155"/>
  <c r="G387"/>
  <c r="G567"/>
  <c r="G589"/>
  <c r="G797"/>
  <c r="G673"/>
  <c r="G291"/>
  <c r="G290" s="1"/>
  <c r="G147"/>
  <c r="G745"/>
  <c r="G260"/>
  <c r="G256" s="1"/>
  <c r="G443"/>
  <c r="G183"/>
  <c r="G423"/>
  <c r="G806"/>
  <c r="G522"/>
  <c r="G533"/>
  <c r="G612"/>
  <c r="G270"/>
  <c r="G418"/>
  <c r="G502"/>
  <c r="G415"/>
  <c r="G166"/>
  <c r="G159" s="1"/>
  <c r="G390"/>
  <c r="G530"/>
  <c r="G597"/>
  <c r="G233"/>
  <c r="G879"/>
  <c r="G364"/>
  <c r="G696"/>
  <c r="G608"/>
  <c r="G882"/>
  <c r="G240"/>
  <c r="G285"/>
  <c r="G527"/>
  <c r="G593"/>
  <c r="G236"/>
  <c r="G684"/>
  <c r="G699"/>
  <c r="G811"/>
  <c r="H284" i="47"/>
  <c r="H286" i="38"/>
  <c r="H281" s="1"/>
  <c r="H280" s="1"/>
  <c r="I232"/>
  <c r="H469"/>
  <c r="H468" s="1"/>
  <c r="H106"/>
  <c r="H105" s="1"/>
  <c r="H569"/>
  <c r="H357"/>
  <c r="H964"/>
  <c r="H396"/>
  <c r="H773"/>
  <c r="J232"/>
  <c r="H52"/>
  <c r="H56"/>
  <c r="H259"/>
  <c r="H969"/>
  <c r="H156"/>
  <c r="H910"/>
  <c r="H960"/>
  <c r="H148"/>
  <c r="H655"/>
  <c r="H618"/>
  <c r="H799"/>
  <c r="H132"/>
  <c r="H184"/>
  <c r="H882"/>
  <c r="H872" s="1"/>
  <c r="H246"/>
  <c r="H442"/>
  <c r="H779"/>
  <c r="H98"/>
  <c r="H137"/>
  <c r="H993"/>
  <c r="H994"/>
  <c r="H705"/>
  <c r="H217"/>
  <c r="H519"/>
  <c r="H768"/>
  <c r="H32"/>
  <c r="H761"/>
  <c r="H251"/>
  <c r="H172"/>
  <c r="H422"/>
  <c r="H508"/>
  <c r="H377"/>
  <c r="H576"/>
  <c r="H63"/>
  <c r="H846"/>
  <c r="H718"/>
  <c r="H19"/>
  <c r="H668"/>
  <c r="H857"/>
  <c r="H304"/>
  <c r="H677"/>
  <c r="H164"/>
  <c r="H842"/>
  <c r="H926"/>
  <c r="H751"/>
  <c r="H316"/>
  <c r="H180"/>
  <c r="H547"/>
  <c r="H501"/>
  <c r="H362"/>
  <c r="H75"/>
  <c r="H817"/>
  <c r="M629" s="1"/>
  <c r="H825"/>
  <c r="J231"/>
  <c r="I231"/>
  <c r="H227"/>
  <c r="H202"/>
  <c r="H86"/>
  <c r="H890"/>
  <c r="H713"/>
  <c r="H988"/>
  <c r="M871" s="1"/>
  <c r="H938"/>
  <c r="H586"/>
  <c r="H634"/>
  <c r="H444" i="47"/>
  <c r="H435" s="1"/>
  <c r="H157"/>
  <c r="H222"/>
  <c r="H451"/>
  <c r="H586"/>
  <c r="H170"/>
  <c r="H172"/>
  <c r="H737"/>
  <c r="H677"/>
  <c r="H559"/>
  <c r="H510"/>
  <c r="H403"/>
  <c r="H386"/>
  <c r="H385"/>
  <c r="H234"/>
  <c r="H113"/>
  <c r="H745"/>
  <c r="H551"/>
  <c r="H419"/>
  <c r="H178"/>
  <c r="H210"/>
  <c r="H339"/>
  <c r="H249"/>
  <c r="H530"/>
  <c r="H689"/>
  <c r="H150"/>
  <c r="H364"/>
  <c r="H701"/>
  <c r="H649"/>
  <c r="H29"/>
  <c r="H669"/>
  <c r="H195"/>
  <c r="H496"/>
  <c r="H579"/>
  <c r="H126"/>
  <c r="H456"/>
  <c r="H711"/>
  <c r="H663"/>
  <c r="H571"/>
  <c r="H104"/>
  <c r="H325"/>
  <c r="H516"/>
  <c r="H608"/>
  <c r="H543"/>
  <c r="H58"/>
  <c r="H93"/>
  <c r="H488"/>
  <c r="H357"/>
  <c r="H163"/>
  <c r="H202"/>
  <c r="H620"/>
  <c r="H502"/>
  <c r="H524"/>
  <c r="H635"/>
  <c r="H723"/>
  <c r="H463"/>
  <c r="H715"/>
  <c r="H565"/>
  <c r="H603"/>
  <c r="H120"/>
  <c r="H479"/>
  <c r="H727"/>
  <c r="H259"/>
  <c r="H394"/>
  <c r="H751"/>
  <c r="H615"/>
  <c r="H13"/>
  <c r="H64"/>
  <c r="H63"/>
  <c r="H71"/>
  <c r="H627"/>
  <c r="H592"/>
  <c r="H85"/>
  <c r="H372"/>
  <c r="H48"/>
  <c r="H471"/>
  <c r="G37" i="38"/>
  <c r="G591"/>
  <c r="G784"/>
  <c r="G689" i="4" l="1"/>
  <c r="G688" s="1"/>
  <c r="G51"/>
  <c r="G536"/>
  <c r="F637"/>
  <c r="I637" s="1"/>
  <c r="I638"/>
  <c r="F93"/>
  <c r="I93" s="1"/>
  <c r="I94"/>
  <c r="F68"/>
  <c r="I68" s="1"/>
  <c r="I69"/>
  <c r="F767"/>
  <c r="I767" s="1"/>
  <c r="I768"/>
  <c r="G377"/>
  <c r="G376" s="1"/>
  <c r="G442"/>
  <c r="G289"/>
  <c r="G284"/>
  <c r="G875"/>
  <c r="G596"/>
  <c r="G414"/>
  <c r="G269"/>
  <c r="G805"/>
  <c r="G744"/>
  <c r="G793"/>
  <c r="G680"/>
  <c r="G138"/>
  <c r="G733"/>
  <c r="G255"/>
  <c r="G509"/>
  <c r="G816"/>
  <c r="G827"/>
  <c r="G592"/>
  <c r="G422"/>
  <c r="G158"/>
  <c r="G221"/>
  <c r="G617"/>
  <c r="G835"/>
  <c r="G306"/>
  <c r="G397"/>
  <c r="G174"/>
  <c r="G549"/>
  <c r="G343"/>
  <c r="G669"/>
  <c r="G578"/>
  <c r="G573"/>
  <c r="G232"/>
  <c r="G526"/>
  <c r="G239"/>
  <c r="G607"/>
  <c r="G363"/>
  <c r="G501"/>
  <c r="G611"/>
  <c r="G469"/>
  <c r="G464"/>
  <c r="G853"/>
  <c r="G182"/>
  <c r="G566"/>
  <c r="G154"/>
  <c r="G197"/>
  <c r="G869"/>
  <c r="G358"/>
  <c r="G556"/>
  <c r="G251"/>
  <c r="G312"/>
  <c r="G740"/>
  <c r="H697" i="38"/>
  <c r="G36"/>
  <c r="I37"/>
  <c r="J37"/>
  <c r="G783"/>
  <c r="I784"/>
  <c r="J784"/>
  <c r="G590"/>
  <c r="J591"/>
  <c r="I591"/>
  <c r="H303"/>
  <c r="H301" s="1"/>
  <c r="H667"/>
  <c r="H633"/>
  <c r="H226"/>
  <c r="H824"/>
  <c r="H541"/>
  <c r="H540"/>
  <c r="H717"/>
  <c r="H992"/>
  <c r="H778"/>
  <c r="H759" s="1"/>
  <c r="H441"/>
  <c r="H179"/>
  <c r="H909"/>
  <c r="H937"/>
  <c r="H889"/>
  <c r="H201"/>
  <c r="H816"/>
  <c r="H919"/>
  <c r="H376"/>
  <c r="H421"/>
  <c r="H31"/>
  <c r="H130"/>
  <c r="H131"/>
  <c r="H500"/>
  <c r="H575"/>
  <c r="H171"/>
  <c r="H760"/>
  <c r="H216"/>
  <c r="H959"/>
  <c r="H154"/>
  <c r="H155"/>
  <c r="H585"/>
  <c r="H574" s="1"/>
  <c r="H983"/>
  <c r="H841"/>
  <c r="H672"/>
  <c r="H18"/>
  <c r="H62"/>
  <c r="H147"/>
  <c r="H258"/>
  <c r="H215" i="47"/>
  <c r="H156"/>
  <c r="H450"/>
  <c r="H585"/>
  <c r="H171"/>
  <c r="H676"/>
  <c r="H558"/>
  <c r="H509"/>
  <c r="H47"/>
  <c r="H602"/>
  <c r="H662"/>
  <c r="H694"/>
  <c r="H363"/>
  <c r="H688"/>
  <c r="H338"/>
  <c r="H209"/>
  <c r="H84"/>
  <c r="H564"/>
  <c r="H722"/>
  <c r="H634"/>
  <c r="H201"/>
  <c r="H434"/>
  <c r="H710"/>
  <c r="H578"/>
  <c r="H149"/>
  <c r="H248"/>
  <c r="H614"/>
  <c r="H750"/>
  <c r="H162"/>
  <c r="H92"/>
  <c r="H320"/>
  <c r="H570"/>
  <c r="H194"/>
  <c r="H744"/>
  <c r="H626"/>
  <c r="H70"/>
  <c r="H478"/>
  <c r="H462"/>
  <c r="H487"/>
  <c r="H536"/>
  <c r="H515"/>
  <c r="H103"/>
  <c r="H455"/>
  <c r="H668"/>
  <c r="H648"/>
  <c r="H550"/>
  <c r="H20"/>
  <c r="H12"/>
  <c r="H393"/>
  <c r="H523"/>
  <c r="H57"/>
  <c r="H119"/>
  <c r="F55" i="4"/>
  <c r="I55" s="1"/>
  <c r="G37" l="1"/>
  <c r="G555"/>
  <c r="G181"/>
  <c r="G852"/>
  <c r="G342"/>
  <c r="G834"/>
  <c r="G826" s="1"/>
  <c r="G220"/>
  <c r="G421"/>
  <c r="G732"/>
  <c r="G792"/>
  <c r="G595"/>
  <c r="G283"/>
  <c r="G468"/>
  <c r="G362"/>
  <c r="G231"/>
  <c r="G508"/>
  <c r="G268"/>
  <c r="G739"/>
  <c r="G250"/>
  <c r="G249" s="1"/>
  <c r="G196"/>
  <c r="G500"/>
  <c r="G606"/>
  <c r="G668"/>
  <c r="G667" s="1"/>
  <c r="G548"/>
  <c r="G396"/>
  <c r="G800"/>
  <c r="G874"/>
  <c r="G146"/>
  <c r="G169"/>
  <c r="G441"/>
  <c r="G311"/>
  <c r="G357"/>
  <c r="G565"/>
  <c r="G525"/>
  <c r="G582"/>
  <c r="G413"/>
  <c r="J590" i="38"/>
  <c r="I590"/>
  <c r="J36"/>
  <c r="I36"/>
  <c r="I783"/>
  <c r="J783"/>
  <c r="H300"/>
  <c r="H257"/>
  <c r="H498"/>
  <c r="H499"/>
  <c r="H200"/>
  <c r="H888"/>
  <c r="H823"/>
  <c r="H632"/>
  <c r="H631"/>
  <c r="H153"/>
  <c r="H17"/>
  <c r="H935"/>
  <c r="H936"/>
  <c r="H225"/>
  <c r="H302"/>
  <c r="H51"/>
  <c r="H957"/>
  <c r="H958"/>
  <c r="H170"/>
  <c r="H129"/>
  <c r="H411"/>
  <c r="H412"/>
  <c r="H814"/>
  <c r="H815"/>
  <c r="H899"/>
  <c r="H900"/>
  <c r="H695"/>
  <c r="H696"/>
  <c r="H356"/>
  <c r="H355"/>
  <c r="H665"/>
  <c r="H666"/>
  <c r="H155" i="47"/>
  <c r="H449"/>
  <c r="H584"/>
  <c r="H508"/>
  <c r="H486"/>
  <c r="H577"/>
  <c r="H83"/>
  <c r="H362"/>
  <c r="H655"/>
  <c r="H102"/>
  <c r="H477"/>
  <c r="H743"/>
  <c r="H241"/>
  <c r="H633"/>
  <c r="H56"/>
  <c r="H709"/>
  <c r="H693"/>
  <c r="H46"/>
  <c r="H11"/>
  <c r="H641"/>
  <c r="H461"/>
  <c r="H187"/>
  <c r="H319"/>
  <c r="H749"/>
  <c r="H148"/>
  <c r="H118" s="1"/>
  <c r="H200"/>
  <c r="H721"/>
  <c r="H557"/>
  <c r="H208"/>
  <c r="H682"/>
  <c r="H591"/>
  <c r="H19"/>
  <c r="H549"/>
  <c r="G432"/>
  <c r="G433"/>
  <c r="E12" i="46" l="1"/>
  <c r="G791" i="4"/>
  <c r="G790" s="1"/>
  <c r="G137"/>
  <c r="G195"/>
  <c r="G194"/>
  <c r="G499"/>
  <c r="G219"/>
  <c r="G577"/>
  <c r="G282"/>
  <c r="G412"/>
  <c r="G411"/>
  <c r="G498"/>
  <c r="G355"/>
  <c r="G248"/>
  <c r="G666"/>
  <c r="G267"/>
  <c r="G230"/>
  <c r="G229"/>
  <c r="G731"/>
  <c r="G730"/>
  <c r="G341"/>
  <c r="G340"/>
  <c r="G305"/>
  <c r="G356"/>
  <c r="G851"/>
  <c r="G604"/>
  <c r="G605"/>
  <c r="G825"/>
  <c r="H299" i="38"/>
  <c r="H887"/>
  <c r="H169"/>
  <c r="H630"/>
  <c r="H822"/>
  <c r="H354"/>
  <c r="H224"/>
  <c r="H694"/>
  <c r="H813"/>
  <c r="H10"/>
  <c r="H199"/>
  <c r="H918"/>
  <c r="H10" i="47"/>
  <c r="H45"/>
  <c r="H708"/>
  <c r="H632"/>
  <c r="H576"/>
  <c r="H675"/>
  <c r="H556"/>
  <c r="H240"/>
  <c r="H736"/>
  <c r="H101"/>
  <c r="H18"/>
  <c r="H207"/>
  <c r="H590"/>
  <c r="H392"/>
  <c r="H640"/>
  <c r="H476"/>
  <c r="H258"/>
  <c r="H186"/>
  <c r="H82"/>
  <c r="H522"/>
  <c r="G428"/>
  <c r="G443"/>
  <c r="G418"/>
  <c r="G460"/>
  <c r="G784" i="4" l="1"/>
  <c r="E42" i="46"/>
  <c r="G850" i="4"/>
  <c r="G339"/>
  <c r="E29" i="46"/>
  <c r="G304" i="4"/>
  <c r="E37" i="46"/>
  <c r="E31"/>
  <c r="E32"/>
  <c r="E26"/>
  <c r="G218" i="4"/>
  <c r="G101"/>
  <c r="E35" i="46"/>
  <c r="E22"/>
  <c r="G266" i="4"/>
  <c r="E23" i="46"/>
  <c r="E33"/>
  <c r="G193" i="4"/>
  <c r="E19" i="46"/>
  <c r="E41"/>
  <c r="G665" i="4"/>
  <c r="E38" i="46"/>
  <c r="G547" i="4"/>
  <c r="H223" i="38"/>
  <c r="H353"/>
  <c r="H821"/>
  <c r="H163"/>
  <c r="H9" s="1"/>
  <c r="H871"/>
  <c r="M872" s="1"/>
  <c r="H257" i="47"/>
  <c r="H384"/>
  <c r="H654"/>
  <c r="H735"/>
  <c r="H707"/>
  <c r="H9"/>
  <c r="H69"/>
  <c r="H17"/>
  <c r="G991" i="38"/>
  <c r="G247" i="47"/>
  <c r="G607"/>
  <c r="G714"/>
  <c r="G953" i="38"/>
  <c r="G878"/>
  <c r="G494"/>
  <c r="G404"/>
  <c r="G533"/>
  <c r="G1006"/>
  <c r="G339"/>
  <c r="G329"/>
  <c r="E18" i="46" l="1"/>
  <c r="E21"/>
  <c r="E39"/>
  <c r="E15"/>
  <c r="G9" i="4"/>
  <c r="E28" i="46"/>
  <c r="G217" i="4"/>
  <c r="G546"/>
  <c r="E25" i="46"/>
  <c r="G265" i="4"/>
  <c r="E27" i="46"/>
  <c r="E36"/>
  <c r="G849" i="4"/>
  <c r="E44" i="46"/>
  <c r="I339" i="38"/>
  <c r="J339"/>
  <c r="H629"/>
  <c r="H757" i="47"/>
  <c r="G975" i="38"/>
  <c r="H1007" l="1"/>
  <c r="M630"/>
  <c r="E24" i="46"/>
  <c r="E34"/>
  <c r="G354" i="4"/>
  <c r="G911" s="1"/>
  <c r="E9" i="46"/>
  <c r="E43"/>
  <c r="E20"/>
  <c r="G860" i="38"/>
  <c r="G804"/>
  <c r="G802"/>
  <c r="G734"/>
  <c r="G625"/>
  <c r="G623"/>
  <c r="G454" i="47"/>
  <c r="G392" i="38" s="1"/>
  <c r="G323"/>
  <c r="G321"/>
  <c r="G319"/>
  <c r="G91" i="47"/>
  <c r="E30" i="46" l="1"/>
  <c r="I392" i="38"/>
  <c r="H392" i="4" s="1"/>
  <c r="H391" s="1"/>
  <c r="H390" s="1"/>
  <c r="J392" i="38"/>
  <c r="G168"/>
  <c r="G44"/>
  <c r="G43"/>
  <c r="G41"/>
  <c r="G30"/>
  <c r="E49" i="46" l="1"/>
  <c r="G154" i="47"/>
  <c r="G279" i="38" l="1"/>
  <c r="G264"/>
  <c r="G236"/>
  <c r="G245"/>
  <c r="G628"/>
  <c r="G617"/>
  <c r="G614"/>
  <c r="G611"/>
  <c r="G609"/>
  <c r="G607"/>
  <c r="G603"/>
  <c r="G600"/>
  <c r="G597"/>
  <c r="G595"/>
  <c r="G539"/>
  <c r="G536"/>
  <c r="G272" i="47"/>
  <c r="G38"/>
  <c r="G32"/>
  <c r="G497" i="38"/>
  <c r="G625" i="47"/>
  <c r="G613"/>
  <c r="G601"/>
  <c r="G371"/>
  <c r="G347"/>
  <c r="G328"/>
  <c r="G268"/>
  <c r="G44"/>
  <c r="G28"/>
  <c r="G410" i="38"/>
  <c r="G407"/>
  <c r="G597" i="47"/>
  <c r="G367"/>
  <c r="G343"/>
  <c r="G264"/>
  <c r="G24"/>
  <c r="G338" i="38"/>
  <c r="G335"/>
  <c r="G326"/>
  <c r="G748" i="47"/>
  <c r="G34" i="38"/>
  <c r="G929"/>
  <c r="G742" i="47"/>
  <c r="G979" i="38"/>
  <c r="G972"/>
  <c r="G934"/>
  <c r="G932"/>
  <c r="G76" i="47"/>
  <c r="G917" i="38"/>
  <c r="E235" i="4"/>
  <c r="E234"/>
  <c r="G646" i="47"/>
  <c r="G905" i="38"/>
  <c r="E904"/>
  <c r="D234" i="4" s="1"/>
  <c r="E905" i="38"/>
  <c r="D235" i="4" s="1"/>
  <c r="E903" i="38"/>
  <c r="D233" i="4" s="1"/>
  <c r="A905" i="38"/>
  <c r="A904"/>
  <c r="A234" i="4" s="1"/>
  <c r="A903" i="38"/>
  <c r="A233" i="4" s="1"/>
  <c r="G880" i="38"/>
  <c r="G796"/>
  <c r="G790"/>
  <c r="G424" i="47"/>
  <c r="F235" i="4" l="1"/>
  <c r="I905" i="38"/>
  <c r="H235" i="4" s="1"/>
  <c r="H234" s="1"/>
  <c r="H233" s="1"/>
  <c r="J905" i="38"/>
  <c r="J34"/>
  <c r="I34"/>
  <c r="G645" i="47"/>
  <c r="J646"/>
  <c r="I646"/>
  <c r="G904" i="38"/>
  <c r="G256" i="47"/>
  <c r="G271" i="38"/>
  <c r="G298"/>
  <c r="G295"/>
  <c r="G292"/>
  <c r="G289"/>
  <c r="G285"/>
  <c r="G268"/>
  <c r="G242"/>
  <c r="G239"/>
  <c r="G495" i="47"/>
  <c r="G492"/>
  <c r="G116" i="38"/>
  <c r="G674" i="47"/>
  <c r="F234" i="4" l="1"/>
  <c r="I235"/>
  <c r="G903" i="38"/>
  <c r="I904"/>
  <c r="J904"/>
  <c r="G644" i="47"/>
  <c r="I645"/>
  <c r="J645"/>
  <c r="G27" i="38"/>
  <c r="G16"/>
  <c r="G52" i="47"/>
  <c r="G507"/>
  <c r="G501"/>
  <c r="G447"/>
  <c r="G439"/>
  <c r="G474"/>
  <c r="G402"/>
  <c r="G398"/>
  <c r="G982" i="38"/>
  <c r="F303" i="4"/>
  <c r="E303"/>
  <c r="E302"/>
  <c r="D302"/>
  <c r="D303"/>
  <c r="D301"/>
  <c r="A302"/>
  <c r="A301"/>
  <c r="G955" i="38"/>
  <c r="F302" i="4" l="1"/>
  <c r="I303"/>
  <c r="F233"/>
  <c r="I233" s="1"/>
  <c r="I234"/>
  <c r="I903" i="38"/>
  <c r="J903"/>
  <c r="G954"/>
  <c r="I955"/>
  <c r="J955"/>
  <c r="G643" i="47"/>
  <c r="J644"/>
  <c r="I644"/>
  <c r="G886" i="38"/>
  <c r="G448" i="47"/>
  <c r="G100"/>
  <c r="G97"/>
  <c r="G88"/>
  <c r="G744" i="38"/>
  <c r="G658"/>
  <c r="F117" i="4"/>
  <c r="A117"/>
  <c r="A116"/>
  <c r="G330" i="38"/>
  <c r="F301" i="4" l="1"/>
  <c r="I301" s="1"/>
  <c r="I302"/>
  <c r="F116"/>
  <c r="I116" s="1"/>
  <c r="I117"/>
  <c r="J330" i="38"/>
  <c r="I330"/>
  <c r="J954"/>
  <c r="I954"/>
  <c r="G642" i="47"/>
  <c r="J643"/>
  <c r="I643"/>
  <c r="G756" i="38"/>
  <c r="G754"/>
  <c r="I642" i="47" l="1"/>
  <c r="J642"/>
  <c r="G758" i="38"/>
  <c r="G747"/>
  <c r="G737"/>
  <c r="G661"/>
  <c r="G346"/>
  <c r="F126" i="4"/>
  <c r="A126"/>
  <c r="G485" i="47"/>
  <c r="G482"/>
  <c r="G160" i="38" s="1"/>
  <c r="G152"/>
  <c r="G309" i="47"/>
  <c r="G313"/>
  <c r="G144"/>
  <c r="G147"/>
  <c r="G377"/>
  <c r="G361"/>
  <c r="G834" i="38"/>
  <c r="E833"/>
  <c r="D861" i="4" s="1"/>
  <c r="E834" i="38"/>
  <c r="D862" i="4" s="1"/>
  <c r="E832" i="38"/>
  <c r="D860" i="4" s="1"/>
  <c r="A834" i="38"/>
  <c r="A862" i="4" s="1"/>
  <c r="A833" i="38"/>
  <c r="A861" i="4" s="1"/>
  <c r="A832" i="38"/>
  <c r="A860" i="4" s="1"/>
  <c r="G336" i="47"/>
  <c r="G575"/>
  <c r="G199"/>
  <c r="G206"/>
  <c r="G535"/>
  <c r="G542"/>
  <c r="G253"/>
  <c r="F125" i="4" l="1"/>
  <c r="I125" s="1"/>
  <c r="I126"/>
  <c r="G833" i="38"/>
  <c r="J833" s="1"/>
  <c r="J834"/>
  <c r="I834"/>
  <c r="I160"/>
  <c r="H614" i="4" s="1"/>
  <c r="H613" s="1"/>
  <c r="J160" i="38"/>
  <c r="G335" i="47"/>
  <c r="J336"/>
  <c r="I336"/>
  <c r="A138" i="38"/>
  <c r="A446"/>
  <c r="A446" i="4" s="1"/>
  <c r="A381" i="38"/>
  <c r="A381" i="4" s="1"/>
  <c r="G832" i="38" l="1"/>
  <c r="I832" s="1"/>
  <c r="H862" i="4" s="1"/>
  <c r="H861" s="1"/>
  <c r="H860" s="1"/>
  <c r="I833" i="38"/>
  <c r="G334" i="47"/>
  <c r="J335"/>
  <c r="I335"/>
  <c r="E1002" i="38"/>
  <c r="E1001"/>
  <c r="G863"/>
  <c r="G866"/>
  <c r="J832" l="1"/>
  <c r="F862" i="4"/>
  <c r="G333" i="47"/>
  <c r="I334"/>
  <c r="J334"/>
  <c r="G24" i="38"/>
  <c r="F861" i="4" l="1"/>
  <c r="I862"/>
  <c r="I333" i="47"/>
  <c r="J333"/>
  <c r="C26" i="40"/>
  <c r="G55" i="38"/>
  <c r="F130" i="4" s="1"/>
  <c r="F115"/>
  <c r="F112"/>
  <c r="G121" i="38"/>
  <c r="G120" s="1"/>
  <c r="G118"/>
  <c r="F206" i="4" s="1"/>
  <c r="G61" i="38"/>
  <c r="G60" s="1"/>
  <c r="G58"/>
  <c r="G46"/>
  <c r="G40"/>
  <c r="G417" i="47"/>
  <c r="G453"/>
  <c r="G235" i="38"/>
  <c r="G241"/>
  <c r="G692" i="47"/>
  <c r="G777" i="38" s="1"/>
  <c r="F729" i="4"/>
  <c r="F491"/>
  <c r="G681" i="47"/>
  <c r="G680" s="1"/>
  <c r="G673"/>
  <c r="F664" i="4"/>
  <c r="F60"/>
  <c r="I60" s="1"/>
  <c r="F36"/>
  <c r="D35"/>
  <c r="D36"/>
  <c r="D34"/>
  <c r="A35"/>
  <c r="A36"/>
  <c r="A34"/>
  <c r="G278" i="38"/>
  <c r="G276"/>
  <c r="G275" s="1"/>
  <c r="G270"/>
  <c r="F247" i="4"/>
  <c r="F789"/>
  <c r="I789" s="1"/>
  <c r="F715"/>
  <c r="F279"/>
  <c r="F319"/>
  <c r="G931" i="38"/>
  <c r="G870"/>
  <c r="F898" i="4" s="1"/>
  <c r="G812" i="38"/>
  <c r="G811" s="1"/>
  <c r="G809"/>
  <c r="F780" i="4" s="1"/>
  <c r="F775"/>
  <c r="F773"/>
  <c r="F725"/>
  <c r="F67"/>
  <c r="F61"/>
  <c r="I61" s="1"/>
  <c r="G859" i="38"/>
  <c r="F281" i="4"/>
  <c r="G877" i="38"/>
  <c r="E838" i="4"/>
  <c r="E837"/>
  <c r="A837"/>
  <c r="A838"/>
  <c r="G212" i="38"/>
  <c r="E211"/>
  <c r="D837" i="4" s="1"/>
  <c r="E212" i="38"/>
  <c r="D838" i="4" s="1"/>
  <c r="E210" i="38"/>
  <c r="D836" i="4" s="1"/>
  <c r="A210" i="38"/>
  <c r="A836" i="4" s="1"/>
  <c r="G660" i="47"/>
  <c r="G520"/>
  <c r="G337" i="38"/>
  <c r="A812" i="4"/>
  <c r="A813"/>
  <c r="A807"/>
  <c r="A808"/>
  <c r="G192" i="38"/>
  <c r="E192"/>
  <c r="D813" i="4" s="1"/>
  <c r="E191" i="38"/>
  <c r="D812" i="4" s="1"/>
  <c r="E193" i="38"/>
  <c r="D814" i="4" s="1"/>
  <c r="E194" i="38"/>
  <c r="D815" i="4" s="1"/>
  <c r="G194" i="38"/>
  <c r="G187"/>
  <c r="E187"/>
  <c r="D808" i="4" s="1"/>
  <c r="E186" i="38"/>
  <c r="D807" i="4" s="1"/>
  <c r="G96" i="47"/>
  <c r="G87"/>
  <c r="G606" i="38"/>
  <c r="F650" i="4"/>
  <c r="G755" i="38"/>
  <c r="F404" i="4"/>
  <c r="G987" i="38"/>
  <c r="F334" i="4" s="1"/>
  <c r="F338"/>
  <c r="E338"/>
  <c r="E337"/>
  <c r="A336"/>
  <c r="A337"/>
  <c r="D336"/>
  <c r="D337"/>
  <c r="D338"/>
  <c r="D335"/>
  <c r="A335"/>
  <c r="E145"/>
  <c r="E144"/>
  <c r="A144"/>
  <c r="A145"/>
  <c r="G310" i="38"/>
  <c r="E309"/>
  <c r="D144" i="4" s="1"/>
  <c r="E310" i="38"/>
  <c r="D145" i="4" s="1"/>
  <c r="E308" i="38"/>
  <c r="A308"/>
  <c r="A143" i="4" s="1"/>
  <c r="G990" i="38"/>
  <c r="G506" i="47"/>
  <c r="F213" i="4"/>
  <c r="F216"/>
  <c r="D215"/>
  <c r="D216"/>
  <c r="A215"/>
  <c r="D211"/>
  <c r="D212"/>
  <c r="D213"/>
  <c r="D214"/>
  <c r="D210"/>
  <c r="A211"/>
  <c r="A212"/>
  <c r="A214"/>
  <c r="A210"/>
  <c r="G124" i="38"/>
  <c r="G127"/>
  <c r="D804" i="4"/>
  <c r="E180" i="38"/>
  <c r="D801" i="4" s="1"/>
  <c r="A803"/>
  <c r="A804"/>
  <c r="G183" i="38"/>
  <c r="E181"/>
  <c r="D802" i="4" s="1"/>
  <c r="E182" i="38"/>
  <c r="D803" i="4" s="1"/>
  <c r="A181" i="38"/>
  <c r="A802" i="4" s="1"/>
  <c r="A180" i="38"/>
  <c r="A801" i="4" s="1"/>
  <c r="G80" i="47"/>
  <c r="F824" i="4"/>
  <c r="A824"/>
  <c r="A823"/>
  <c r="A822"/>
  <c r="D822"/>
  <c r="D823"/>
  <c r="D824"/>
  <c r="D821"/>
  <c r="A821"/>
  <c r="G197" i="38"/>
  <c r="G189"/>
  <c r="A815" i="4"/>
  <c r="E190" i="38"/>
  <c r="D811" i="4" s="1"/>
  <c r="E189" i="38"/>
  <c r="D810" i="4" s="1"/>
  <c r="E188" i="38"/>
  <c r="D809" i="4" s="1"/>
  <c r="E185" i="38"/>
  <c r="D806" i="4" s="1"/>
  <c r="E184" i="38"/>
  <c r="D805" i="4" s="1"/>
  <c r="E179" i="38"/>
  <c r="D800" i="4" s="1"/>
  <c r="A179" i="38"/>
  <c r="A800" i="4" s="1"/>
  <c r="A814"/>
  <c r="A190" i="38"/>
  <c r="A811" i="4" s="1"/>
  <c r="A810"/>
  <c r="A809"/>
  <c r="A185" i="38"/>
  <c r="A806" i="4" s="1"/>
  <c r="A184" i="38"/>
  <c r="A805" i="4" s="1"/>
  <c r="F30"/>
  <c r="E30"/>
  <c r="E29"/>
  <c r="A30"/>
  <c r="A29"/>
  <c r="F25"/>
  <c r="G1002" i="38"/>
  <c r="G16" i="47"/>
  <c r="G15" s="1"/>
  <c r="G885" i="38"/>
  <c r="G798"/>
  <c r="F766" i="4" s="1"/>
  <c r="G793" i="38"/>
  <c r="G792" s="1"/>
  <c r="F705" i="4"/>
  <c r="G297" i="38"/>
  <c r="G291"/>
  <c r="G288"/>
  <c r="F76" i="4"/>
  <c r="G272" i="38"/>
  <c r="F21" i="4"/>
  <c r="G898" i="38"/>
  <c r="F228" i="4" s="1"/>
  <c r="E766"/>
  <c r="E765"/>
  <c r="A766"/>
  <c r="A765"/>
  <c r="F764"/>
  <c r="G318" i="38"/>
  <c r="G250"/>
  <c r="F100" i="4" s="1"/>
  <c r="F85"/>
  <c r="I85" s="1"/>
  <c r="E85"/>
  <c r="A85"/>
  <c r="G237" i="38"/>
  <c r="G33"/>
  <c r="G99" i="47"/>
  <c r="G90"/>
  <c r="E907" i="38"/>
  <c r="D237" i="4" s="1"/>
  <c r="E908" i="38"/>
  <c r="D238" i="4" s="1"/>
  <c r="E620"/>
  <c r="E619"/>
  <c r="A619"/>
  <c r="A620"/>
  <c r="G584" i="38"/>
  <c r="E582"/>
  <c r="D618" i="4" s="1"/>
  <c r="E583" i="38"/>
  <c r="D619" i="4" s="1"/>
  <c r="E584" i="38"/>
  <c r="D620" i="4" s="1"/>
  <c r="E581" i="38"/>
  <c r="D617" i="4" s="1"/>
  <c r="A582" i="38"/>
  <c r="A618" i="4" s="1"/>
  <c r="A581" i="38"/>
  <c r="A617" i="4" s="1"/>
  <c r="G519" i="47"/>
  <c r="G391"/>
  <c r="G390" s="1"/>
  <c r="F603" i="4"/>
  <c r="E576"/>
  <c r="E575"/>
  <c r="A575"/>
  <c r="A576"/>
  <c r="G568" i="38"/>
  <c r="E566"/>
  <c r="D574" i="4" s="1"/>
  <c r="E567" i="38"/>
  <c r="D575" i="4" s="1"/>
  <c r="E568" i="38"/>
  <c r="D576" i="4" s="1"/>
  <c r="E565" i="38"/>
  <c r="D573" i="4" s="1"/>
  <c r="A566" i="38"/>
  <c r="A574" i="4" s="1"/>
  <c r="A565" i="38"/>
  <c r="A573" i="4" s="1"/>
  <c r="G205" i="47"/>
  <c r="G726"/>
  <c r="G85" i="38" s="1"/>
  <c r="G720" i="47"/>
  <c r="G82" i="38" s="1"/>
  <c r="G523"/>
  <c r="G427" i="47"/>
  <c r="G75"/>
  <c r="A132" i="38"/>
  <c r="A250" i="4" s="1"/>
  <c r="E349"/>
  <c r="E348"/>
  <c r="E346"/>
  <c r="E345"/>
  <c r="D348"/>
  <c r="D349"/>
  <c r="E1000" i="38"/>
  <c r="D347" i="4" s="1"/>
  <c r="A349"/>
  <c r="A1001" i="38"/>
  <c r="A348" i="4" s="1"/>
  <c r="A1000" i="38"/>
  <c r="A347" i="4" s="1"/>
  <c r="G999" i="38"/>
  <c r="A346" i="4"/>
  <c r="A998" i="38"/>
  <c r="A345" i="4" s="1"/>
  <c r="E998" i="38"/>
  <c r="D345" i="4" s="1"/>
  <c r="E999" i="38"/>
  <c r="D346" i="4" s="1"/>
  <c r="E997" i="38"/>
  <c r="D344" i="4" s="1"/>
  <c r="A997" i="38"/>
  <c r="A344" i="4" s="1"/>
  <c r="E996" i="38"/>
  <c r="D343" i="4" s="1"/>
  <c r="A996" i="38"/>
  <c r="A343" i="4" s="1"/>
  <c r="G741" i="47"/>
  <c r="G386" i="38"/>
  <c r="G193" i="47"/>
  <c r="G561" i="38" s="1"/>
  <c r="G713" i="47"/>
  <c r="E142" i="4"/>
  <c r="E141"/>
  <c r="A140"/>
  <c r="A141"/>
  <c r="A142"/>
  <c r="D139"/>
  <c r="D140"/>
  <c r="D141"/>
  <c r="D142"/>
  <c r="A139"/>
  <c r="D138"/>
  <c r="G307" i="38"/>
  <c r="G500" i="47"/>
  <c r="F451" i="4"/>
  <c r="G606" i="47"/>
  <c r="G619"/>
  <c r="G481" i="38" s="1"/>
  <c r="G589" i="47"/>
  <c r="G315" i="38" s="1"/>
  <c r="G879"/>
  <c r="E878" i="4"/>
  <c r="E877"/>
  <c r="A878"/>
  <c r="A877"/>
  <c r="G850" i="38"/>
  <c r="E849"/>
  <c r="D877" i="4" s="1"/>
  <c r="E850" i="38"/>
  <c r="D878" i="4" s="1"/>
  <c r="E848" i="38"/>
  <c r="D876" i="4" s="1"/>
  <c r="A848" i="38"/>
  <c r="A876" i="4" s="1"/>
  <c r="G562" i="47"/>
  <c r="F410" i="4"/>
  <c r="F407"/>
  <c r="E60"/>
  <c r="A60"/>
  <c r="F353"/>
  <c r="E353"/>
  <c r="E352"/>
  <c r="A351"/>
  <c r="A352"/>
  <c r="D351"/>
  <c r="D352"/>
  <c r="D353"/>
  <c r="D350"/>
  <c r="A350"/>
  <c r="G1005" i="38"/>
  <c r="A819" i="4"/>
  <c r="A820"/>
  <c r="G820" i="38"/>
  <c r="E820"/>
  <c r="D820" i="4" s="1"/>
  <c r="E819" i="38"/>
  <c r="D819" i="4" s="1"/>
  <c r="E818" i="38"/>
  <c r="D818" i="4" s="1"/>
  <c r="A818" i="38"/>
  <c r="A818" i="4" s="1"/>
  <c r="G229" i="38"/>
  <c r="G29"/>
  <c r="E296" i="4"/>
  <c r="E295"/>
  <c r="A295"/>
  <c r="A296"/>
  <c r="G949" i="38"/>
  <c r="E948"/>
  <c r="D295" i="4" s="1"/>
  <c r="E949" i="38"/>
  <c r="D296" i="4" s="1"/>
  <c r="E947" i="38"/>
  <c r="D294" i="4" s="1"/>
  <c r="A947" i="38"/>
  <c r="A294" i="4" s="1"/>
  <c r="G705" i="47"/>
  <c r="G639"/>
  <c r="G941" i="38" s="1"/>
  <c r="E224" i="4"/>
  <c r="E223"/>
  <c r="A223"/>
  <c r="E894" i="38"/>
  <c r="D224" i="4" s="1"/>
  <c r="A892" i="38"/>
  <c r="A222" i="4" s="1"/>
  <c r="E892" i="38"/>
  <c r="D222" i="4" s="1"/>
  <c r="E893" i="38"/>
  <c r="D223" i="4" s="1"/>
  <c r="E891" i="38"/>
  <c r="D221" i="4" s="1"/>
  <c r="A891" i="38"/>
  <c r="A221" i="4" s="1"/>
  <c r="E890" i="38"/>
  <c r="D220" i="4" s="1"/>
  <c r="A890" i="38"/>
  <c r="A220" i="4" s="1"/>
  <c r="G168" i="47"/>
  <c r="G469"/>
  <c r="A184" i="4"/>
  <c r="A185"/>
  <c r="E312" i="38"/>
  <c r="D182" i="4" s="1"/>
  <c r="E313" i="38"/>
  <c r="D183" i="4" s="1"/>
  <c r="E314" i="38"/>
  <c r="D184" i="4" s="1"/>
  <c r="E315" i="38"/>
  <c r="D185" i="4" s="1"/>
  <c r="A313" i="38"/>
  <c r="A183" i="4" s="1"/>
  <c r="A312" i="38"/>
  <c r="A182" i="4" s="1"/>
  <c r="E311" i="38"/>
  <c r="D181" i="4" s="1"/>
  <c r="A311" i="38"/>
  <c r="A181" i="4" s="1"/>
  <c r="G255" i="47"/>
  <c r="G144" i="38"/>
  <c r="E157" i="4"/>
  <c r="E156"/>
  <c r="G74" i="38"/>
  <c r="E72"/>
  <c r="D155" i="4" s="1"/>
  <c r="E73" i="38"/>
  <c r="D156" i="4" s="1"/>
  <c r="E74" i="38"/>
  <c r="D157" i="4" s="1"/>
  <c r="E71" i="38"/>
  <c r="D154" i="4" s="1"/>
  <c r="A72" i="38"/>
  <c r="A155" i="4" s="1"/>
  <c r="A73" i="38"/>
  <c r="A156" i="4" s="1"/>
  <c r="A74" i="38"/>
  <c r="A71"/>
  <c r="A154" i="4" s="1"/>
  <c r="G541" i="47"/>
  <c r="G70" i="38"/>
  <c r="G529" i="47"/>
  <c r="G67" i="38" s="1"/>
  <c r="F645" i="4"/>
  <c r="F326"/>
  <c r="F322"/>
  <c r="A321"/>
  <c r="A320"/>
  <c r="G974" i="38"/>
  <c r="G162"/>
  <c r="G657"/>
  <c r="F659" i="4"/>
  <c r="G320" i="38"/>
  <c r="G222"/>
  <c r="F848" i="4" s="1"/>
  <c r="G220" i="38"/>
  <c r="G219" s="1"/>
  <c r="G727"/>
  <c r="F904" i="4"/>
  <c r="F894"/>
  <c r="F891"/>
  <c r="F777"/>
  <c r="F758"/>
  <c r="F756"/>
  <c r="F753"/>
  <c r="F721"/>
  <c r="F718"/>
  <c r="F711"/>
  <c r="F708"/>
  <c r="F657"/>
  <c r="F653"/>
  <c r="F647"/>
  <c r="F636"/>
  <c r="F633"/>
  <c r="F630"/>
  <c r="F628"/>
  <c r="F625"/>
  <c r="D841"/>
  <c r="A841"/>
  <c r="E841"/>
  <c r="F497"/>
  <c r="F494"/>
  <c r="F329"/>
  <c r="F300"/>
  <c r="F7"/>
  <c r="G7" i="38" s="1"/>
  <c r="G7" i="47" s="1"/>
  <c r="F15" i="4"/>
  <c r="I15" s="1"/>
  <c r="F42"/>
  <c r="F44"/>
  <c r="F47"/>
  <c r="F86"/>
  <c r="I86" s="1"/>
  <c r="F109"/>
  <c r="F121"/>
  <c r="F192"/>
  <c r="F204"/>
  <c r="F276"/>
  <c r="F910"/>
  <c r="G968" i="38"/>
  <c r="G963"/>
  <c r="G946"/>
  <c r="G913"/>
  <c r="G908"/>
  <c r="G856"/>
  <c r="G853"/>
  <c r="G845"/>
  <c r="G840"/>
  <c r="G837"/>
  <c r="G831"/>
  <c r="G828"/>
  <c r="G772"/>
  <c r="G767"/>
  <c r="G730"/>
  <c r="G724"/>
  <c r="G721"/>
  <c r="G716"/>
  <c r="G712"/>
  <c r="G708"/>
  <c r="G704"/>
  <c r="G701"/>
  <c r="G686"/>
  <c r="G680"/>
  <c r="G676"/>
  <c r="G671"/>
  <c r="G651"/>
  <c r="G648"/>
  <c r="G643"/>
  <c r="G640"/>
  <c r="G637"/>
  <c r="G573"/>
  <c r="G564"/>
  <c r="G556"/>
  <c r="G551"/>
  <c r="G546"/>
  <c r="G529"/>
  <c r="G526"/>
  <c r="G518"/>
  <c r="G515"/>
  <c r="G512"/>
  <c r="G507"/>
  <c r="G504"/>
  <c r="G487"/>
  <c r="G484"/>
  <c r="G478"/>
  <c r="G467"/>
  <c r="G460"/>
  <c r="G457"/>
  <c r="G448"/>
  <c r="G445"/>
  <c r="G440"/>
  <c r="G437"/>
  <c r="G434"/>
  <c r="G431"/>
  <c r="G428"/>
  <c r="G425"/>
  <c r="G420"/>
  <c r="G417"/>
  <c r="G400"/>
  <c r="G395"/>
  <c r="G389"/>
  <c r="G383"/>
  <c r="G380"/>
  <c r="G375"/>
  <c r="G372"/>
  <c r="G369"/>
  <c r="G366"/>
  <c r="G361"/>
  <c r="G141"/>
  <c r="G136"/>
  <c r="G112"/>
  <c r="G97"/>
  <c r="G207"/>
  <c r="G491" i="47"/>
  <c r="G494"/>
  <c r="G755"/>
  <c r="G733"/>
  <c r="G699"/>
  <c r="G686"/>
  <c r="G666"/>
  <c r="G652"/>
  <c r="G630"/>
  <c r="G624"/>
  <c r="G612"/>
  <c r="G596"/>
  <c r="G582"/>
  <c r="G574"/>
  <c r="G568"/>
  <c r="G554"/>
  <c r="G547"/>
  <c r="G513"/>
  <c r="G465"/>
  <c r="G459"/>
  <c r="G446"/>
  <c r="G442"/>
  <c r="G438"/>
  <c r="G411"/>
  <c r="G407"/>
  <c r="G401"/>
  <c r="G397"/>
  <c r="G382"/>
  <c r="G376"/>
  <c r="G370"/>
  <c r="G366"/>
  <c r="G360"/>
  <c r="G355"/>
  <c r="G350"/>
  <c r="G346"/>
  <c r="G342"/>
  <c r="G331"/>
  <c r="G327"/>
  <c r="G323"/>
  <c r="G317"/>
  <c r="G312"/>
  <c r="G303"/>
  <c r="G297"/>
  <c r="G292"/>
  <c r="G288"/>
  <c r="G282"/>
  <c r="G277"/>
  <c r="G271"/>
  <c r="G267"/>
  <c r="G263"/>
  <c r="G246"/>
  <c r="G238"/>
  <c r="G232"/>
  <c r="G683" i="38"/>
  <c r="G226" i="47"/>
  <c r="G220"/>
  <c r="G213"/>
  <c r="G198"/>
  <c r="G184"/>
  <c r="G176"/>
  <c r="G160"/>
  <c r="G153"/>
  <c r="G146"/>
  <c r="G137"/>
  <c r="G130"/>
  <c r="G124"/>
  <c r="G116"/>
  <c r="G107"/>
  <c r="G54"/>
  <c r="G51"/>
  <c r="G43"/>
  <c r="G37"/>
  <c r="G31"/>
  <c r="G27"/>
  <c r="G23"/>
  <c r="A787" i="4"/>
  <c r="E945" i="38"/>
  <c r="D292" i="4" s="1"/>
  <c r="E946" i="38"/>
  <c r="D293" i="4" s="1"/>
  <c r="E135" i="38"/>
  <c r="D253" i="4" s="1"/>
  <c r="E136" i="38"/>
  <c r="D254" i="4" s="1"/>
  <c r="E448"/>
  <c r="D448"/>
  <c r="A448"/>
  <c r="E447"/>
  <c r="D447"/>
  <c r="A447"/>
  <c r="D446"/>
  <c r="E383"/>
  <c r="D383"/>
  <c r="A383"/>
  <c r="E382"/>
  <c r="D382"/>
  <c r="A382"/>
  <c r="D381"/>
  <c r="A43"/>
  <c r="A38"/>
  <c r="G26" i="38"/>
  <c r="G23"/>
  <c r="G21"/>
  <c r="G952"/>
  <c r="A297" i="4"/>
  <c r="A298"/>
  <c r="G660" i="38"/>
  <c r="E140"/>
  <c r="D259" i="4" s="1"/>
  <c r="E141" i="38"/>
  <c r="E139"/>
  <c r="A140"/>
  <c r="A141"/>
  <c r="A139"/>
  <c r="A257" i="4" s="1"/>
  <c r="G865" i="38"/>
  <c r="G862"/>
  <c r="G749"/>
  <c r="G746"/>
  <c r="G787"/>
  <c r="E420" i="4"/>
  <c r="E419"/>
  <c r="A420"/>
  <c r="A419"/>
  <c r="E419" i="38"/>
  <c r="D419" i="4" s="1"/>
  <c r="E420" i="38"/>
  <c r="D420" i="4" s="1"/>
  <c r="E418" i="38"/>
  <c r="D418" i="4" s="1"/>
  <c r="A418" i="38"/>
  <c r="A418" i="4" s="1"/>
  <c r="G40" i="47"/>
  <c r="G600"/>
  <c r="A705" i="38"/>
  <c r="A676" i="4" s="1"/>
  <c r="G34" i="47"/>
  <c r="A908" i="4"/>
  <c r="A909"/>
  <c r="A910"/>
  <c r="A907"/>
  <c r="A906"/>
  <c r="A48" i="46" s="1"/>
  <c r="A175" i="38"/>
  <c r="A796" i="4" s="1"/>
  <c r="A178" i="38"/>
  <c r="A799" i="4" s="1"/>
  <c r="D871"/>
  <c r="D872"/>
  <c r="D873"/>
  <c r="D870"/>
  <c r="A870"/>
  <c r="A871"/>
  <c r="A872"/>
  <c r="A873"/>
  <c r="D869"/>
  <c r="A869"/>
  <c r="A798"/>
  <c r="A795"/>
  <c r="E616"/>
  <c r="E615"/>
  <c r="D616"/>
  <c r="D615"/>
  <c r="A616"/>
  <c r="A615"/>
  <c r="E445"/>
  <c r="E444"/>
  <c r="D444"/>
  <c r="D445"/>
  <c r="D443"/>
  <c r="A444"/>
  <c r="A445"/>
  <c r="A443"/>
  <c r="E380"/>
  <c r="E379"/>
  <c r="D379"/>
  <c r="D380"/>
  <c r="D378"/>
  <c r="A380"/>
  <c r="A379"/>
  <c r="A378"/>
  <c r="A938" i="38"/>
  <c r="A285" i="4" s="1"/>
  <c r="G553" i="38"/>
  <c r="G178"/>
  <c r="G175"/>
  <c r="E177"/>
  <c r="D798" i="4" s="1"/>
  <c r="E178" i="38"/>
  <c r="D799" i="4" s="1"/>
  <c r="E176" i="38"/>
  <c r="D797" i="4" s="1"/>
  <c r="A176" i="38"/>
  <c r="A797" i="4" s="1"/>
  <c r="E174" i="38"/>
  <c r="D795" i="4" s="1"/>
  <c r="E175" i="38"/>
  <c r="D796" i="4" s="1"/>
  <c r="E173" i="38"/>
  <c r="D794" i="4" s="1"/>
  <c r="A173" i="38"/>
  <c r="A794" i="4" s="1"/>
  <c r="E172" i="38"/>
  <c r="D793" i="4" s="1"/>
  <c r="A172" i="38"/>
  <c r="A793" i="4" s="1"/>
  <c r="A171" i="38"/>
  <c r="A792" i="4" s="1"/>
  <c r="E171" i="38"/>
  <c r="D792" i="4" s="1"/>
  <c r="F178" i="38"/>
  <c r="G67" i="47"/>
  <c r="G61"/>
  <c r="A713" i="38"/>
  <c r="A684" i="4" s="1"/>
  <c r="A844"/>
  <c r="E687"/>
  <c r="E686"/>
  <c r="A687"/>
  <c r="A686"/>
  <c r="E716" i="38"/>
  <c r="D687" i="4" s="1"/>
  <c r="E715" i="38"/>
  <c r="D686" i="4" s="1"/>
  <c r="E714" i="38"/>
  <c r="D685" i="4" s="1"/>
  <c r="E713" i="38"/>
  <c r="D684" i="4" s="1"/>
  <c r="A714" i="38"/>
  <c r="A685" i="4" s="1"/>
  <c r="E467" i="38"/>
  <c r="D467" i="4" s="1"/>
  <c r="E466" i="38"/>
  <c r="D466" i="4" s="1"/>
  <c r="E315"/>
  <c r="E314"/>
  <c r="A314"/>
  <c r="E968" i="38"/>
  <c r="D315" i="4" s="1"/>
  <c r="E967" i="38"/>
  <c r="D314" i="4" s="1"/>
  <c r="E966" i="38"/>
  <c r="D313" i="4" s="1"/>
  <c r="A966" i="38"/>
  <c r="A313" i="4" s="1"/>
  <c r="E960" i="38"/>
  <c r="D307" i="4" s="1"/>
  <c r="E334"/>
  <c r="E333"/>
  <c r="D334"/>
  <c r="D333"/>
  <c r="D332"/>
  <c r="D331"/>
  <c r="D330"/>
  <c r="A333"/>
  <c r="A332"/>
  <c r="A331"/>
  <c r="A330"/>
  <c r="G654" i="38"/>
  <c r="D848" i="4"/>
  <c r="D847"/>
  <c r="D846"/>
  <c r="D845"/>
  <c r="D844"/>
  <c r="D843"/>
  <c r="D192"/>
  <c r="D191"/>
  <c r="D190"/>
  <c r="D189"/>
  <c r="A842"/>
  <c r="A188"/>
  <c r="E995" i="38"/>
  <c r="D342" i="4" s="1"/>
  <c r="A995" i="38"/>
  <c r="A342" i="4" s="1"/>
  <c r="E965" i="38"/>
  <c r="D312" i="4" s="1"/>
  <c r="A965" i="38"/>
  <c r="A312" i="4" s="1"/>
  <c r="E964" i="38"/>
  <c r="D311" i="4" s="1"/>
  <c r="A964" i="38"/>
  <c r="A311" i="4" s="1"/>
  <c r="E310"/>
  <c r="E309"/>
  <c r="D310"/>
  <c r="D309"/>
  <c r="A309"/>
  <c r="E961" i="38"/>
  <c r="D308" i="4" s="1"/>
  <c r="A961" i="38"/>
  <c r="A308" i="4" s="1"/>
  <c r="A960" i="38"/>
  <c r="A307" i="4" s="1"/>
  <c r="E959" i="38"/>
  <c r="D306" i="4" s="1"/>
  <c r="A959" i="38"/>
  <c r="A306" i="4" s="1"/>
  <c r="E293"/>
  <c r="E292"/>
  <c r="A292"/>
  <c r="E944" i="38"/>
  <c r="D291" i="4" s="1"/>
  <c r="A944" i="38"/>
  <c r="A291" i="4" s="1"/>
  <c r="E943" i="38"/>
  <c r="D290" i="4" s="1"/>
  <c r="A943" i="38"/>
  <c r="A290" i="4" s="1"/>
  <c r="E942" i="38"/>
  <c r="D289" i="4" s="1"/>
  <c r="A942" i="38"/>
  <c r="A289" i="4" s="1"/>
  <c r="E288"/>
  <c r="E287"/>
  <c r="D288"/>
  <c r="D287"/>
  <c r="A288"/>
  <c r="A287"/>
  <c r="E939" i="38"/>
  <c r="D286" i="4" s="1"/>
  <c r="A939" i="38"/>
  <c r="A286" i="4" s="1"/>
  <c r="E938" i="38"/>
  <c r="D285" i="4" s="1"/>
  <c r="E937" i="38"/>
  <c r="D284" i="4" s="1"/>
  <c r="A937" i="38"/>
  <c r="A284" i="4" s="1"/>
  <c r="E272"/>
  <c r="E271"/>
  <c r="D272"/>
  <c r="D271"/>
  <c r="A271"/>
  <c r="E923" i="38"/>
  <c r="D270" i="4" s="1"/>
  <c r="A923" i="38"/>
  <c r="A270" i="4" s="1"/>
  <c r="E922" i="38"/>
  <c r="D269" i="4" s="1"/>
  <c r="A922" i="38"/>
  <c r="A269" i="4" s="1"/>
  <c r="E921" i="38"/>
  <c r="D268" i="4" s="1"/>
  <c r="A921" i="38"/>
  <c r="A268" i="4" s="1"/>
  <c r="E243"/>
  <c r="E242"/>
  <c r="D243"/>
  <c r="D242"/>
  <c r="A242"/>
  <c r="D240"/>
  <c r="E911" i="38"/>
  <c r="D241" i="4" s="1"/>
  <c r="A911" i="38"/>
  <c r="A241" i="4" s="1"/>
  <c r="A910" i="38"/>
  <c r="A240" i="4" s="1"/>
  <c r="E909" i="38"/>
  <c r="D239" i="4" s="1"/>
  <c r="A909" i="38"/>
  <c r="A239" i="4" s="1"/>
  <c r="E238"/>
  <c r="E237"/>
  <c r="A237"/>
  <c r="E906" i="38"/>
  <c r="D236" i="4" s="1"/>
  <c r="A906" i="38"/>
  <c r="A236" i="4" s="1"/>
  <c r="E902" i="38"/>
  <c r="D232" i="4" s="1"/>
  <c r="A902" i="38"/>
  <c r="A232" i="4" s="1"/>
  <c r="E901" i="38"/>
  <c r="D231" i="4" s="1"/>
  <c r="A901" i="38"/>
  <c r="A231" i="4" s="1"/>
  <c r="E884"/>
  <c r="E883"/>
  <c r="D884"/>
  <c r="D883"/>
  <c r="A884"/>
  <c r="A883"/>
  <c r="E881"/>
  <c r="E880"/>
  <c r="D881"/>
  <c r="D880"/>
  <c r="A881"/>
  <c r="A880"/>
  <c r="E854" i="38"/>
  <c r="D882" i="4" s="1"/>
  <c r="A854" i="38"/>
  <c r="A882" i="4" s="1"/>
  <c r="E851" i="38"/>
  <c r="D879" i="4" s="1"/>
  <c r="A851" i="38"/>
  <c r="A879" i="4" s="1"/>
  <c r="E847" i="38"/>
  <c r="D875" i="4" s="1"/>
  <c r="A847" i="38"/>
  <c r="A875" i="4" s="1"/>
  <c r="E846" i="38"/>
  <c r="D874" i="4" s="1"/>
  <c r="A846" i="38"/>
  <c r="A874" i="4" s="1"/>
  <c r="E868"/>
  <c r="E867"/>
  <c r="D868"/>
  <c r="D867"/>
  <c r="A868"/>
  <c r="A867"/>
  <c r="E865"/>
  <c r="E864"/>
  <c r="D865"/>
  <c r="D864"/>
  <c r="A865"/>
  <c r="A864"/>
  <c r="E859"/>
  <c r="E858"/>
  <c r="D859"/>
  <c r="D858"/>
  <c r="A859"/>
  <c r="A858"/>
  <c r="E856"/>
  <c r="E855"/>
  <c r="D856"/>
  <c r="D855"/>
  <c r="A856"/>
  <c r="A855"/>
  <c r="E838" i="38"/>
  <c r="D866" i="4" s="1"/>
  <c r="A838" i="38"/>
  <c r="A866" i="4" s="1"/>
  <c r="E835" i="38"/>
  <c r="D863" i="4" s="1"/>
  <c r="A835" i="38"/>
  <c r="A863" i="4" s="1"/>
  <c r="E829" i="38"/>
  <c r="D857" i="4" s="1"/>
  <c r="A829" i="38"/>
  <c r="A857" i="4" s="1"/>
  <c r="E826" i="38"/>
  <c r="D854" i="4" s="1"/>
  <c r="A826" i="38"/>
  <c r="A854" i="4" s="1"/>
  <c r="E825" i="38"/>
  <c r="D853" i="4" s="1"/>
  <c r="A825" i="38"/>
  <c r="A853" i="4" s="1"/>
  <c r="E824" i="38"/>
  <c r="D852" i="4" s="1"/>
  <c r="A824" i="38"/>
  <c r="A852" i="4" s="1"/>
  <c r="E817" i="38"/>
  <c r="D817" i="4" s="1"/>
  <c r="A817" i="38"/>
  <c r="A817" i="4" s="1"/>
  <c r="E816" i="38"/>
  <c r="D816" i="4" s="1"/>
  <c r="A816" i="38"/>
  <c r="A816" i="4" s="1"/>
  <c r="E748"/>
  <c r="E747"/>
  <c r="D748"/>
  <c r="D747"/>
  <c r="A747"/>
  <c r="E775" i="38"/>
  <c r="D746" i="4" s="1"/>
  <c r="A775" i="38"/>
  <c r="A746" i="4" s="1"/>
  <c r="E774" i="38"/>
  <c r="D745" i="4" s="1"/>
  <c r="A774" i="38"/>
  <c r="A745" i="4" s="1"/>
  <c r="E773" i="38"/>
  <c r="D744" i="4" s="1"/>
  <c r="A773" i="38"/>
  <c r="A744" i="4" s="1"/>
  <c r="E743"/>
  <c r="E742"/>
  <c r="D743"/>
  <c r="D742"/>
  <c r="A742"/>
  <c r="E770" i="38"/>
  <c r="D741" i="4" s="1"/>
  <c r="A770" i="38"/>
  <c r="A741" i="4" s="1"/>
  <c r="E769" i="38"/>
  <c r="D740" i="4" s="1"/>
  <c r="A769" i="38"/>
  <c r="A740" i="4" s="1"/>
  <c r="E768" i="38"/>
  <c r="D739" i="4" s="1"/>
  <c r="A768" i="38"/>
  <c r="A739" i="4" s="1"/>
  <c r="E738"/>
  <c r="E737"/>
  <c r="E736"/>
  <c r="E735"/>
  <c r="D738"/>
  <c r="D737"/>
  <c r="D736"/>
  <c r="D735"/>
  <c r="A737"/>
  <c r="A736"/>
  <c r="A735"/>
  <c r="E763" i="38"/>
  <c r="A763"/>
  <c r="A734" i="4" s="1"/>
  <c r="E762" i="38"/>
  <c r="D733" i="4" s="1"/>
  <c r="A762" i="38"/>
  <c r="A733" i="4" s="1"/>
  <c r="E761" i="38"/>
  <c r="D732" i="4" s="1"/>
  <c r="A761" i="38"/>
  <c r="A732" i="4" s="1"/>
  <c r="E701"/>
  <c r="E700"/>
  <c r="D701"/>
  <c r="D700"/>
  <c r="A701"/>
  <c r="A700"/>
  <c r="E698"/>
  <c r="E697"/>
  <c r="D698"/>
  <c r="D697"/>
  <c r="A698"/>
  <c r="A697"/>
  <c r="E695"/>
  <c r="E694"/>
  <c r="D695"/>
  <c r="D694"/>
  <c r="A695"/>
  <c r="A694"/>
  <c r="E692"/>
  <c r="E691"/>
  <c r="D692"/>
  <c r="D691"/>
  <c r="A692"/>
  <c r="A691"/>
  <c r="E728" i="38"/>
  <c r="D699" i="4" s="1"/>
  <c r="A728" i="38"/>
  <c r="A699" i="4" s="1"/>
  <c r="E725" i="38"/>
  <c r="D696" i="4" s="1"/>
  <c r="A725" i="38"/>
  <c r="A696" i="4" s="1"/>
  <c r="E722" i="38"/>
  <c r="D693" i="4" s="1"/>
  <c r="A722" i="38"/>
  <c r="A693" i="4" s="1"/>
  <c r="E719" i="38"/>
  <c r="D690" i="4" s="1"/>
  <c r="A719" i="38"/>
  <c r="A690" i="4" s="1"/>
  <c r="E718" i="38"/>
  <c r="D689" i="4" s="1"/>
  <c r="A718" i="38"/>
  <c r="A689" i="4" s="1"/>
  <c r="E717" i="38"/>
  <c r="D688" i="4" s="1"/>
  <c r="A717" i="38"/>
  <c r="A688" i="4" s="1"/>
  <c r="E683"/>
  <c r="E682"/>
  <c r="D683"/>
  <c r="D682"/>
  <c r="A683"/>
  <c r="A682"/>
  <c r="E679"/>
  <c r="E678"/>
  <c r="D679"/>
  <c r="D678"/>
  <c r="A679"/>
  <c r="A678"/>
  <c r="E675"/>
  <c r="E674"/>
  <c r="D675"/>
  <c r="D674"/>
  <c r="A675"/>
  <c r="A674"/>
  <c r="E672"/>
  <c r="E671"/>
  <c r="D672"/>
  <c r="D671"/>
  <c r="A672"/>
  <c r="A671"/>
  <c r="E710" i="38"/>
  <c r="D681" i="4" s="1"/>
  <c r="A710" i="38"/>
  <c r="A681" i="4" s="1"/>
  <c r="E709" i="38"/>
  <c r="D680" i="4" s="1"/>
  <c r="A709" i="38"/>
  <c r="A680" i="4" s="1"/>
  <c r="E706" i="38"/>
  <c r="D677" i="4" s="1"/>
  <c r="A706" i="38"/>
  <c r="A677" i="4" s="1"/>
  <c r="E705" i="38"/>
  <c r="D676" i="4" s="1"/>
  <c r="E702" i="38"/>
  <c r="D673" i="4" s="1"/>
  <c r="A702" i="38"/>
  <c r="A673" i="4" s="1"/>
  <c r="E699" i="38"/>
  <c r="D670" i="4" s="1"/>
  <c r="A699" i="38"/>
  <c r="A670" i="4" s="1"/>
  <c r="E698" i="38"/>
  <c r="D669" i="4" s="1"/>
  <c r="A698" i="38"/>
  <c r="A669" i="4" s="1"/>
  <c r="E697" i="38"/>
  <c r="D668" i="4" s="1"/>
  <c r="A697" i="38"/>
  <c r="A668" i="4" s="1"/>
  <c r="E594"/>
  <c r="E593"/>
  <c r="D594"/>
  <c r="D593"/>
  <c r="A593"/>
  <c r="E591"/>
  <c r="E590"/>
  <c r="D591"/>
  <c r="D590"/>
  <c r="A590"/>
  <c r="E588"/>
  <c r="E587"/>
  <c r="D588"/>
  <c r="D587"/>
  <c r="A588"/>
  <c r="A587"/>
  <c r="E585"/>
  <c r="E584"/>
  <c r="D585"/>
  <c r="D584"/>
  <c r="A584"/>
  <c r="E581"/>
  <c r="E580"/>
  <c r="D581"/>
  <c r="D580"/>
  <c r="A580"/>
  <c r="E687" i="38"/>
  <c r="D592" i="4" s="1"/>
  <c r="A687" i="38"/>
  <c r="A592" i="4" s="1"/>
  <c r="E684" i="38"/>
  <c r="D589" i="4" s="1"/>
  <c r="A684" i="38"/>
  <c r="A589" i="4" s="1"/>
  <c r="E681" i="38"/>
  <c r="D586" i="4" s="1"/>
  <c r="A681" i="38"/>
  <c r="A586" i="4" s="1"/>
  <c r="E678" i="38"/>
  <c r="D583" i="4" s="1"/>
  <c r="A678" i="38"/>
  <c r="A583" i="4" s="1"/>
  <c r="E677" i="38"/>
  <c r="D582" i="4" s="1"/>
  <c r="A677" i="38"/>
  <c r="A582" i="4" s="1"/>
  <c r="E674" i="38"/>
  <c r="D579" i="4" s="1"/>
  <c r="A674" i="38"/>
  <c r="A579" i="4" s="1"/>
  <c r="E673" i="38"/>
  <c r="D578" i="4" s="1"/>
  <c r="A673" i="38"/>
  <c r="A578" i="4" s="1"/>
  <c r="E672" i="38"/>
  <c r="D577" i="4" s="1"/>
  <c r="A672" i="38"/>
  <c r="A577" i="4" s="1"/>
  <c r="E552"/>
  <c r="E551"/>
  <c r="D552"/>
  <c r="D551"/>
  <c r="A551"/>
  <c r="A669" i="38"/>
  <c r="E669"/>
  <c r="E668"/>
  <c r="A668"/>
  <c r="E667"/>
  <c r="A667"/>
  <c r="E652"/>
  <c r="A652"/>
  <c r="E649"/>
  <c r="A649"/>
  <c r="E646"/>
  <c r="A646"/>
  <c r="E645"/>
  <c r="A645"/>
  <c r="E644"/>
  <c r="A644"/>
  <c r="E641"/>
  <c r="D516" i="4" s="1"/>
  <c r="A641" i="38"/>
  <c r="A516" i="4" s="1"/>
  <c r="E638" i="38"/>
  <c r="D513" i="4" s="1"/>
  <c r="A638" i="38"/>
  <c r="A513" i="4" s="1"/>
  <c r="E635" i="38"/>
  <c r="A635"/>
  <c r="E634"/>
  <c r="A634"/>
  <c r="E633"/>
  <c r="A633"/>
  <c r="D614" i="4"/>
  <c r="D613"/>
  <c r="A614"/>
  <c r="A613"/>
  <c r="E610"/>
  <c r="E609"/>
  <c r="D610"/>
  <c r="D609"/>
  <c r="A609"/>
  <c r="E578" i="38"/>
  <c r="D608" i="4" s="1"/>
  <c r="A578" i="38"/>
  <c r="A608" i="4" s="1"/>
  <c r="E577" i="38"/>
  <c r="D607" i="4" s="1"/>
  <c r="A577" i="38"/>
  <c r="A607" i="4" s="1"/>
  <c r="E576" i="38"/>
  <c r="D606" i="4" s="1"/>
  <c r="A576" i="38"/>
  <c r="A606" i="4" s="1"/>
  <c r="E599"/>
  <c r="E598"/>
  <c r="D599"/>
  <c r="D598"/>
  <c r="A599"/>
  <c r="A598"/>
  <c r="E571" i="38"/>
  <c r="D597" i="4" s="1"/>
  <c r="A571" i="38"/>
  <c r="A597" i="4" s="1"/>
  <c r="E570" i="38"/>
  <c r="D596" i="4" s="1"/>
  <c r="A570" i="38"/>
  <c r="A596" i="4" s="1"/>
  <c r="E569" i="38"/>
  <c r="D595" i="4" s="1"/>
  <c r="A569" i="38"/>
  <c r="A595" i="4" s="1"/>
  <c r="E572"/>
  <c r="E571"/>
  <c r="D572"/>
  <c r="D571"/>
  <c r="A572"/>
  <c r="A571"/>
  <c r="E569"/>
  <c r="E568"/>
  <c r="D569"/>
  <c r="D568"/>
  <c r="A569"/>
  <c r="A568"/>
  <c r="E562" i="38"/>
  <c r="D570" i="4" s="1"/>
  <c r="A562" i="38"/>
  <c r="A570" i="4" s="1"/>
  <c r="E559" i="38"/>
  <c r="D567" i="4" s="1"/>
  <c r="A559" i="38"/>
  <c r="A567" i="4" s="1"/>
  <c r="E558" i="38"/>
  <c r="D566" i="4" s="1"/>
  <c r="A558" i="38"/>
  <c r="A566" i="4" s="1"/>
  <c r="E557" i="38"/>
  <c r="D565" i="4" s="1"/>
  <c r="A557" i="38"/>
  <c r="A565" i="4" s="1"/>
  <c r="E564"/>
  <c r="E563"/>
  <c r="E561"/>
  <c r="E560"/>
  <c r="E559"/>
  <c r="E558"/>
  <c r="D561"/>
  <c r="D560"/>
  <c r="D559"/>
  <c r="D558"/>
  <c r="A561"/>
  <c r="A560"/>
  <c r="A558"/>
  <c r="E554" i="38"/>
  <c r="A554"/>
  <c r="E549"/>
  <c r="D557" i="4" s="1"/>
  <c r="A549" i="38"/>
  <c r="A557" i="4" s="1"/>
  <c r="E548" i="38"/>
  <c r="D556" i="4" s="1"/>
  <c r="A548" i="38"/>
  <c r="A556" i="4" s="1"/>
  <c r="E547" i="38"/>
  <c r="D555" i="4" s="1"/>
  <c r="A547" i="38"/>
  <c r="A555" i="4" s="1"/>
  <c r="E554"/>
  <c r="E553"/>
  <c r="D554"/>
  <c r="D553"/>
  <c r="A554"/>
  <c r="A553"/>
  <c r="E544" i="38"/>
  <c r="D550" i="4" s="1"/>
  <c r="A544" i="38"/>
  <c r="A550" i="4" s="1"/>
  <c r="E543" i="38"/>
  <c r="D549" i="4" s="1"/>
  <c r="A543" i="38"/>
  <c r="A549" i="4" s="1"/>
  <c r="E542" i="38"/>
  <c r="A542"/>
  <c r="E535" i="4"/>
  <c r="E534"/>
  <c r="D535"/>
  <c r="D534"/>
  <c r="A535"/>
  <c r="A534"/>
  <c r="E532"/>
  <c r="E531"/>
  <c r="D532"/>
  <c r="D531"/>
  <c r="A532"/>
  <c r="A531"/>
  <c r="E529"/>
  <c r="E528"/>
  <c r="D529"/>
  <c r="D528"/>
  <c r="A529"/>
  <c r="A528"/>
  <c r="E527" i="38"/>
  <c r="D533" i="4" s="1"/>
  <c r="A527" i="38"/>
  <c r="A533" i="4" s="1"/>
  <c r="E524" i="38"/>
  <c r="D530" i="4" s="1"/>
  <c r="A524" i="38"/>
  <c r="A530" i="4" s="1"/>
  <c r="E521" i="38"/>
  <c r="D527" i="4" s="1"/>
  <c r="A521" i="38"/>
  <c r="A527" i="4" s="1"/>
  <c r="E520" i="38"/>
  <c r="D526" i="4" s="1"/>
  <c r="A520" i="38"/>
  <c r="A526" i="4" s="1"/>
  <c r="E519" i="38"/>
  <c r="D525" i="4" s="1"/>
  <c r="A519" i="38"/>
  <c r="A525" i="4" s="1"/>
  <c r="E524"/>
  <c r="E523"/>
  <c r="D524"/>
  <c r="D523"/>
  <c r="A524"/>
  <c r="A523"/>
  <c r="E521"/>
  <c r="E520"/>
  <c r="D521"/>
  <c r="D520"/>
  <c r="A521"/>
  <c r="A520"/>
  <c r="E518"/>
  <c r="E517"/>
  <c r="D518"/>
  <c r="D517"/>
  <c r="A518"/>
  <c r="A517"/>
  <c r="E515"/>
  <c r="E514"/>
  <c r="D515"/>
  <c r="D514"/>
  <c r="A515"/>
  <c r="A514"/>
  <c r="E512"/>
  <c r="E511"/>
  <c r="D512"/>
  <c r="D511"/>
  <c r="A512"/>
  <c r="A511"/>
  <c r="E516" i="38"/>
  <c r="D522" i="4" s="1"/>
  <c r="A516" i="38"/>
  <c r="A522" i="4" s="1"/>
  <c r="E513" i="38"/>
  <c r="D519" i="4" s="1"/>
  <c r="A513" i="38"/>
  <c r="A519" i="4" s="1"/>
  <c r="E510" i="38"/>
  <c r="D510" i="4" s="1"/>
  <c r="A510" i="38"/>
  <c r="A510" i="4" s="1"/>
  <c r="E509" i="38"/>
  <c r="D509" i="4" s="1"/>
  <c r="A509" i="38"/>
  <c r="A509" i="4" s="1"/>
  <c r="E508" i="38"/>
  <c r="D508" i="4" s="1"/>
  <c r="A508" i="38"/>
  <c r="A508" i="4" s="1"/>
  <c r="E507"/>
  <c r="E506"/>
  <c r="D507"/>
  <c r="D506"/>
  <c r="A507"/>
  <c r="A506"/>
  <c r="E504"/>
  <c r="E503"/>
  <c r="D504"/>
  <c r="D503"/>
  <c r="A504"/>
  <c r="A503"/>
  <c r="E505" i="38"/>
  <c r="D505" i="4" s="1"/>
  <c r="A505" i="38"/>
  <c r="A505" i="4" s="1"/>
  <c r="E502" i="38"/>
  <c r="D502" i="4" s="1"/>
  <c r="A502" i="38"/>
  <c r="A502" i="4" s="1"/>
  <c r="E501" i="38"/>
  <c r="D501" i="4" s="1"/>
  <c r="A501" i="38"/>
  <c r="A501" i="4" s="1"/>
  <c r="E500" i="38"/>
  <c r="D500" i="4" s="1"/>
  <c r="A500" i="38"/>
  <c r="A500" i="4" s="1"/>
  <c r="E487"/>
  <c r="E486"/>
  <c r="D487"/>
  <c r="D486"/>
  <c r="A487"/>
  <c r="A486"/>
  <c r="E484"/>
  <c r="E483"/>
  <c r="D484"/>
  <c r="D483"/>
  <c r="A484"/>
  <c r="A483"/>
  <c r="E481"/>
  <c r="E480"/>
  <c r="D481"/>
  <c r="D480"/>
  <c r="A481"/>
  <c r="A480"/>
  <c r="E478"/>
  <c r="E477"/>
  <c r="D478"/>
  <c r="D477"/>
  <c r="A478"/>
  <c r="A477"/>
  <c r="E475"/>
  <c r="E474"/>
  <c r="D475"/>
  <c r="D474"/>
  <c r="A475"/>
  <c r="A474"/>
  <c r="E472"/>
  <c r="E471"/>
  <c r="D472"/>
  <c r="D471"/>
  <c r="A472"/>
  <c r="A471"/>
  <c r="E485" i="38"/>
  <c r="D485" i="4" s="1"/>
  <c r="A485" i="38"/>
  <c r="A485" i="4" s="1"/>
  <c r="E482" i="38"/>
  <c r="D482" i="4" s="1"/>
  <c r="A482" i="38"/>
  <c r="A482" i="4" s="1"/>
  <c r="E479" i="38"/>
  <c r="D479" i="4" s="1"/>
  <c r="A479" i="38"/>
  <c r="A479" i="4" s="1"/>
  <c r="E476" i="38"/>
  <c r="D476" i="4" s="1"/>
  <c r="A476" i="38"/>
  <c r="A476" i="4" s="1"/>
  <c r="E473" i="38"/>
  <c r="D473" i="4" s="1"/>
  <c r="A473" i="38"/>
  <c r="A473" i="4" s="1"/>
  <c r="E470" i="38"/>
  <c r="D470" i="4" s="1"/>
  <c r="A470" i="38"/>
  <c r="A470" i="4" s="1"/>
  <c r="E469" i="38"/>
  <c r="D469" i="4" s="1"/>
  <c r="A469" i="38"/>
  <c r="A469" i="4" s="1"/>
  <c r="E468" i="38"/>
  <c r="D468" i="4" s="1"/>
  <c r="A468" i="38"/>
  <c r="A468" i="4" s="1"/>
  <c r="E467"/>
  <c r="E466"/>
  <c r="A467"/>
  <c r="A466"/>
  <c r="E463"/>
  <c r="E462"/>
  <c r="D463"/>
  <c r="D462"/>
  <c r="A463"/>
  <c r="A462"/>
  <c r="E460"/>
  <c r="E459"/>
  <c r="D460"/>
  <c r="D459"/>
  <c r="A460"/>
  <c r="A459"/>
  <c r="E457"/>
  <c r="E456"/>
  <c r="D457"/>
  <c r="D456"/>
  <c r="A457"/>
  <c r="A456"/>
  <c r="E454"/>
  <c r="E453"/>
  <c r="D454"/>
  <c r="D453"/>
  <c r="A454"/>
  <c r="A453"/>
  <c r="E451"/>
  <c r="E450"/>
  <c r="D451"/>
  <c r="D450"/>
  <c r="A451"/>
  <c r="A450"/>
  <c r="A465" i="38"/>
  <c r="A465" i="4" s="1"/>
  <c r="E465" i="38"/>
  <c r="D465" i="4" s="1"/>
  <c r="E464" i="38"/>
  <c r="D464" i="4" s="1"/>
  <c r="A464" i="38"/>
  <c r="A464" i="4" s="1"/>
  <c r="E461" i="38"/>
  <c r="D461" i="4" s="1"/>
  <c r="A461" i="38"/>
  <c r="A461" i="4" s="1"/>
  <c r="E458" i="38"/>
  <c r="D458" i="4" s="1"/>
  <c r="A458" i="38"/>
  <c r="A458" i="4" s="1"/>
  <c r="E455" i="38"/>
  <c r="D455" i="4" s="1"/>
  <c r="A455" i="38"/>
  <c r="A455" i="4" s="1"/>
  <c r="E452" i="38"/>
  <c r="D452" i="4" s="1"/>
  <c r="A452" i="38"/>
  <c r="A452" i="4" s="1"/>
  <c r="E449" i="38"/>
  <c r="D449" i="4" s="1"/>
  <c r="A449" i="38"/>
  <c r="A449" i="4" s="1"/>
  <c r="E442" i="38"/>
  <c r="D442" i="4" s="1"/>
  <c r="A442" i="38"/>
  <c r="A442" i="4" s="1"/>
  <c r="E441" i="38"/>
  <c r="D441" i="4" s="1"/>
  <c r="A441" i="38"/>
  <c r="A441" i="4" s="1"/>
  <c r="E440"/>
  <c r="E439"/>
  <c r="D440"/>
  <c r="D439"/>
  <c r="A440"/>
  <c r="A439"/>
  <c r="E437"/>
  <c r="E436"/>
  <c r="D437"/>
  <c r="D436"/>
  <c r="D435"/>
  <c r="A437"/>
  <c r="A436"/>
  <c r="A435"/>
  <c r="E434"/>
  <c r="E433"/>
  <c r="D434"/>
  <c r="D433"/>
  <c r="A434"/>
  <c r="A433"/>
  <c r="E431"/>
  <c r="E430"/>
  <c r="D431"/>
  <c r="D430"/>
  <c r="A431"/>
  <c r="A430"/>
  <c r="E428"/>
  <c r="E427"/>
  <c r="D428"/>
  <c r="D427"/>
  <c r="A428"/>
  <c r="A427"/>
  <c r="E425"/>
  <c r="E424"/>
  <c r="D425"/>
  <c r="D424"/>
  <c r="A425"/>
  <c r="A424"/>
  <c r="E438" i="38"/>
  <c r="D438" i="4" s="1"/>
  <c r="A438" i="38"/>
  <c r="A438" i="4" s="1"/>
  <c r="E432" i="38"/>
  <c r="D432" i="4" s="1"/>
  <c r="A432" i="38"/>
  <c r="A432" i="4" s="1"/>
  <c r="E429" i="38"/>
  <c r="D429" i="4" s="1"/>
  <c r="A429" i="38"/>
  <c r="A429" i="4" s="1"/>
  <c r="E426" i="38"/>
  <c r="D426" i="4" s="1"/>
  <c r="A426" i="38"/>
  <c r="A426" i="4" s="1"/>
  <c r="E423" i="38"/>
  <c r="D423" i="4" s="1"/>
  <c r="A423" i="38"/>
  <c r="A423" i="4" s="1"/>
  <c r="E422" i="38"/>
  <c r="D422" i="4" s="1"/>
  <c r="A422" i="38"/>
  <c r="A422" i="4" s="1"/>
  <c r="E421" i="38"/>
  <c r="D421" i="4" s="1"/>
  <c r="A421" i="38"/>
  <c r="A421" i="4" s="1"/>
  <c r="E417"/>
  <c r="E416"/>
  <c r="D417"/>
  <c r="D416"/>
  <c r="A417"/>
  <c r="A416"/>
  <c r="E415" i="38"/>
  <c r="D415" i="4" s="1"/>
  <c r="A415" i="38"/>
  <c r="A415" i="4" s="1"/>
  <c r="E414" i="38"/>
  <c r="D414" i="4" s="1"/>
  <c r="A414" i="38"/>
  <c r="A414" i="4" s="1"/>
  <c r="E413" i="38"/>
  <c r="D413" i="4" s="1"/>
  <c r="A413" i="38"/>
  <c r="A413" i="4" s="1"/>
  <c r="E400"/>
  <c r="E399"/>
  <c r="D400"/>
  <c r="D399"/>
  <c r="A400"/>
  <c r="A399"/>
  <c r="E398" i="38"/>
  <c r="D398" i="4" s="1"/>
  <c r="A398" i="38"/>
  <c r="A398" i="4" s="1"/>
  <c r="E397" i="38"/>
  <c r="D397" i="4" s="1"/>
  <c r="A397" i="38"/>
  <c r="A397" i="4" s="1"/>
  <c r="E396" i="38"/>
  <c r="D396" i="4" s="1"/>
  <c r="A396" i="38"/>
  <c r="A396" i="4" s="1"/>
  <c r="E395"/>
  <c r="E394"/>
  <c r="D395"/>
  <c r="D394"/>
  <c r="A395"/>
  <c r="A394"/>
  <c r="E392"/>
  <c r="E391"/>
  <c r="D392"/>
  <c r="D391"/>
  <c r="A392"/>
  <c r="A391"/>
  <c r="E389"/>
  <c r="E388"/>
  <c r="D389"/>
  <c r="D388"/>
  <c r="A389"/>
  <c r="A388"/>
  <c r="E386"/>
  <c r="E385"/>
  <c r="D386"/>
  <c r="D385"/>
  <c r="A386"/>
  <c r="A385"/>
  <c r="E393" i="38"/>
  <c r="D393" i="4" s="1"/>
  <c r="A393" i="38"/>
  <c r="A393" i="4" s="1"/>
  <c r="E390" i="38"/>
  <c r="D390" i="4" s="1"/>
  <c r="A390" i="38"/>
  <c r="A390" i="4" s="1"/>
  <c r="E387" i="38"/>
  <c r="D387" i="4" s="1"/>
  <c r="A387" i="38"/>
  <c r="A387" i="4" s="1"/>
  <c r="E384" i="38"/>
  <c r="D384" i="4" s="1"/>
  <c r="A384" i="38"/>
  <c r="A384" i="4" s="1"/>
  <c r="E377" i="38"/>
  <c r="D377" i="4" s="1"/>
  <c r="A377" i="38"/>
  <c r="A377" i="4" s="1"/>
  <c r="E376" i="38"/>
  <c r="D376" i="4" s="1"/>
  <c r="A376" i="38"/>
  <c r="A376" i="4" s="1"/>
  <c r="E375"/>
  <c r="E374"/>
  <c r="D375"/>
  <c r="D374"/>
  <c r="A375"/>
  <c r="A374"/>
  <c r="E372"/>
  <c r="E371"/>
  <c r="D372"/>
  <c r="D371"/>
  <c r="A372"/>
  <c r="A371"/>
  <c r="E369"/>
  <c r="E368"/>
  <c r="D369"/>
  <c r="D368"/>
  <c r="A369"/>
  <c r="A368"/>
  <c r="E366"/>
  <c r="E365"/>
  <c r="D366"/>
  <c r="D365"/>
  <c r="A366"/>
  <c r="A365"/>
  <c r="E373" i="38"/>
  <c r="D373" i="4" s="1"/>
  <c r="A373" i="38"/>
  <c r="A373" i="4" s="1"/>
  <c r="E370" i="38"/>
  <c r="D370" i="4" s="1"/>
  <c r="A370" i="38"/>
  <c r="A370" i="4" s="1"/>
  <c r="E367" i="38"/>
  <c r="D367" i="4" s="1"/>
  <c r="A367" i="38"/>
  <c r="A367" i="4" s="1"/>
  <c r="E364" i="38"/>
  <c r="D364" i="4" s="1"/>
  <c r="A364" i="38"/>
  <c r="A364" i="4" s="1"/>
  <c r="E363" i="38"/>
  <c r="D363" i="4" s="1"/>
  <c r="A363" i="38"/>
  <c r="A363" i="4" s="1"/>
  <c r="E362" i="38"/>
  <c r="D362" i="4" s="1"/>
  <c r="A362" i="38"/>
  <c r="A362" i="4" s="1"/>
  <c r="E361"/>
  <c r="E360"/>
  <c r="D361"/>
  <c r="D360"/>
  <c r="A361"/>
  <c r="A360"/>
  <c r="E359" i="38"/>
  <c r="D359" i="4" s="1"/>
  <c r="A359" i="38"/>
  <c r="A359" i="4" s="1"/>
  <c r="E358" i="38"/>
  <c r="D358" i="4" s="1"/>
  <c r="A358" i="38"/>
  <c r="A358" i="4" s="1"/>
  <c r="E357" i="38"/>
  <c r="D357" i="4" s="1"/>
  <c r="A357" i="38"/>
  <c r="A357" i="4" s="1"/>
  <c r="E840"/>
  <c r="D840"/>
  <c r="A840"/>
  <c r="E213" i="38"/>
  <c r="D839" i="4" s="1"/>
  <c r="A213" i="38"/>
  <c r="A839" i="4" s="1"/>
  <c r="E209" i="38"/>
  <c r="D835" i="4" s="1"/>
  <c r="A209" i="38"/>
  <c r="A835" i="4" s="1"/>
  <c r="E208" i="38"/>
  <c r="D834" i="4" s="1"/>
  <c r="A208" i="38"/>
  <c r="A834" i="4" s="1"/>
  <c r="D833"/>
  <c r="D832"/>
  <c r="D831"/>
  <c r="D830"/>
  <c r="A832"/>
  <c r="A831"/>
  <c r="A830"/>
  <c r="E203" i="38"/>
  <c r="D829" i="4" s="1"/>
  <c r="A203" i="38"/>
  <c r="A829" i="4" s="1"/>
  <c r="E202" i="38"/>
  <c r="D828" i="4" s="1"/>
  <c r="A202" i="38"/>
  <c r="A828" i="4" s="1"/>
  <c r="E201" i="38"/>
  <c r="D827" i="4" s="1"/>
  <c r="A201" i="38"/>
  <c r="A827" i="4" s="1"/>
  <c r="E614"/>
  <c r="E613"/>
  <c r="E158" i="38"/>
  <c r="D612" i="4" s="1"/>
  <c r="A158" i="38"/>
  <c r="A612" i="4" s="1"/>
  <c r="E157" i="38"/>
  <c r="D611" i="4" s="1"/>
  <c r="A157" i="38"/>
  <c r="A611" i="4" s="1"/>
  <c r="E156" i="38"/>
  <c r="A156"/>
  <c r="E264" i="4"/>
  <c r="E263"/>
  <c r="E262"/>
  <c r="E261"/>
  <c r="D264"/>
  <c r="D263"/>
  <c r="D262"/>
  <c r="D261"/>
  <c r="A263"/>
  <c r="A262"/>
  <c r="A261"/>
  <c r="E142" i="38"/>
  <c r="D260" i="4" s="1"/>
  <c r="A142" i="38"/>
  <c r="A260" i="4" s="1"/>
  <c r="E138" i="38"/>
  <c r="A256" i="4"/>
  <c r="E137" i="38"/>
  <c r="D255" i="4" s="1"/>
  <c r="A137" i="38"/>
  <c r="A255" i="4" s="1"/>
  <c r="E254"/>
  <c r="E253"/>
  <c r="A254"/>
  <c r="A253"/>
  <c r="E134" i="38"/>
  <c r="D252" i="4" s="1"/>
  <c r="A134" i="38"/>
  <c r="A252" i="4" s="1"/>
  <c r="E133" i="38"/>
  <c r="D251" i="4" s="1"/>
  <c r="A133" i="38"/>
  <c r="A251" i="4" s="1"/>
  <c r="E132" i="38"/>
  <c r="D250" i="4" s="1"/>
  <c r="E200"/>
  <c r="E199"/>
  <c r="A199"/>
  <c r="E110" i="38"/>
  <c r="E111" s="1"/>
  <c r="A110"/>
  <c r="A198" i="4" s="1"/>
  <c r="E109" i="38"/>
  <c r="D197" i="4" s="1"/>
  <c r="A109" i="38"/>
  <c r="A197" i="4" s="1"/>
  <c r="E108" i="38"/>
  <c r="D196" i="4" s="1"/>
  <c r="A108" i="38"/>
  <c r="A196" i="4" s="1"/>
  <c r="E180"/>
  <c r="E179"/>
  <c r="A179"/>
  <c r="E177"/>
  <c r="E176"/>
  <c r="A177"/>
  <c r="A176"/>
  <c r="E173"/>
  <c r="E172"/>
  <c r="A173"/>
  <c r="A172"/>
  <c r="E168"/>
  <c r="E167"/>
  <c r="A167"/>
  <c r="D164"/>
  <c r="E165"/>
  <c r="E164"/>
  <c r="E162"/>
  <c r="E161"/>
  <c r="A164"/>
  <c r="A161"/>
  <c r="E153"/>
  <c r="E152"/>
  <c r="A153"/>
  <c r="A152"/>
  <c r="E150"/>
  <c r="E149"/>
  <c r="A149"/>
  <c r="E97" i="38"/>
  <c r="D180" i="4" s="1"/>
  <c r="E96" i="38"/>
  <c r="D179" i="4" s="1"/>
  <c r="E95" i="38"/>
  <c r="D178" i="4" s="1"/>
  <c r="A95" i="38"/>
  <c r="A178" i="4" s="1"/>
  <c r="E92" i="38"/>
  <c r="D175" i="4" s="1"/>
  <c r="A92" i="38"/>
  <c r="A175" i="4" s="1"/>
  <c r="E91" i="38"/>
  <c r="D174" i="4" s="1"/>
  <c r="A91" i="38"/>
  <c r="A174" i="4" s="1"/>
  <c r="E88" i="38"/>
  <c r="D171" i="4" s="1"/>
  <c r="A88" i="38"/>
  <c r="A171" i="4" s="1"/>
  <c r="E87" i="38"/>
  <c r="D170" i="4" s="1"/>
  <c r="A87" i="38"/>
  <c r="A170" i="4" s="1"/>
  <c r="E86" i="38"/>
  <c r="D169" i="4" s="1"/>
  <c r="A86" i="38"/>
  <c r="A169" i="4" s="1"/>
  <c r="E83" i="38"/>
  <c r="E84" s="1"/>
  <c r="E85" s="1"/>
  <c r="D168" i="4" s="1"/>
  <c r="A83" i="38"/>
  <c r="A166" i="4" s="1"/>
  <c r="E82" i="38"/>
  <c r="D165" i="4" s="1"/>
  <c r="E80" i="38"/>
  <c r="D163" i="4" s="1"/>
  <c r="A80" i="38"/>
  <c r="A163" i="4" s="1"/>
  <c r="E79" i="38"/>
  <c r="D162" i="4" s="1"/>
  <c r="E78" i="38"/>
  <c r="D161" i="4" s="1"/>
  <c r="E77" i="38"/>
  <c r="D160" i="4" s="1"/>
  <c r="A77" i="38"/>
  <c r="A160" i="4" s="1"/>
  <c r="E76" i="38"/>
  <c r="D159" i="4" s="1"/>
  <c r="A76" i="38"/>
  <c r="A159" i="4" s="1"/>
  <c r="E75" i="38"/>
  <c r="D158" i="4" s="1"/>
  <c r="A75" i="38"/>
  <c r="A158" i="4" s="1"/>
  <c r="E68" i="38"/>
  <c r="D151" i="4" s="1"/>
  <c r="D152" s="1"/>
  <c r="D153" s="1"/>
  <c r="A68" i="38"/>
  <c r="A151" i="4" s="1"/>
  <c r="A64" i="38"/>
  <c r="A147" i="4" s="1"/>
  <c r="A63" i="38"/>
  <c r="A146" i="4" s="1"/>
  <c r="E64" i="38"/>
  <c r="D147" i="4" s="1"/>
  <c r="E63" i="38"/>
  <c r="D146" i="4" s="1"/>
  <c r="E65" i="38"/>
  <c r="D148" i="4" s="1"/>
  <c r="A65" i="38"/>
  <c r="A148" i="4" s="1"/>
  <c r="A317"/>
  <c r="C21" i="40"/>
  <c r="C20" s="1"/>
  <c r="G115" i="38"/>
  <c r="G215"/>
  <c r="G928"/>
  <c r="G805"/>
  <c r="G789"/>
  <c r="G781"/>
  <c r="G736"/>
  <c r="G692"/>
  <c r="G663"/>
  <c r="G620"/>
  <c r="G610"/>
  <c r="G602"/>
  <c r="G599"/>
  <c r="G596"/>
  <c r="G588"/>
  <c r="G538"/>
  <c r="G535"/>
  <c r="G493"/>
  <c r="G351"/>
  <c r="G345"/>
  <c r="G334"/>
  <c r="G322"/>
  <c r="G294"/>
  <c r="G255"/>
  <c r="G244"/>
  <c r="G151"/>
  <c r="G15"/>
  <c r="G765"/>
  <c r="G112" i="47"/>
  <c r="G110"/>
  <c r="C11" i="40"/>
  <c r="C13"/>
  <c r="C18"/>
  <c r="C17" s="1"/>
  <c r="G981" i="38"/>
  <c r="G739"/>
  <c r="G616"/>
  <c r="G496"/>
  <c r="G608"/>
  <c r="G594"/>
  <c r="G103"/>
  <c r="G102"/>
  <c r="G252" i="47"/>
  <c r="G468"/>
  <c r="G463" i="38"/>
  <c r="F727" i="4"/>
  <c r="G454" i="38"/>
  <c r="G803"/>
  <c r="D143" i="4" l="1"/>
  <c r="G14" i="56"/>
  <c r="C25" i="40"/>
  <c r="F26"/>
  <c r="E26"/>
  <c r="F203" i="4"/>
  <c r="I203" s="1"/>
  <c r="I204"/>
  <c r="F493"/>
  <c r="I494"/>
  <c r="F632"/>
  <c r="I633"/>
  <c r="F656"/>
  <c r="I656" s="1"/>
  <c r="I657"/>
  <c r="F720"/>
  <c r="I721"/>
  <c r="F776"/>
  <c r="I776" s="1"/>
  <c r="I777"/>
  <c r="F658"/>
  <c r="I658" s="1"/>
  <c r="I659"/>
  <c r="F325"/>
  <c r="I326"/>
  <c r="F409"/>
  <c r="I410"/>
  <c r="F227"/>
  <c r="I228"/>
  <c r="F215"/>
  <c r="I216"/>
  <c r="F403"/>
  <c r="I404"/>
  <c r="F280"/>
  <c r="I280" s="1"/>
  <c r="I281"/>
  <c r="F724"/>
  <c r="I724" s="1"/>
  <c r="I725"/>
  <c r="F278"/>
  <c r="I278" s="1"/>
  <c r="I279"/>
  <c r="F275"/>
  <c r="I276"/>
  <c r="F108"/>
  <c r="I108" s="1"/>
  <c r="I109"/>
  <c r="F41"/>
  <c r="I41" s="1"/>
  <c r="I42"/>
  <c r="F328"/>
  <c r="I329"/>
  <c r="F629"/>
  <c r="I629" s="1"/>
  <c r="I630"/>
  <c r="F652"/>
  <c r="I653"/>
  <c r="F717"/>
  <c r="I718"/>
  <c r="F757"/>
  <c r="I757" s="1"/>
  <c r="I758"/>
  <c r="F903"/>
  <c r="I904"/>
  <c r="F321"/>
  <c r="I322"/>
  <c r="F352"/>
  <c r="I353"/>
  <c r="F406"/>
  <c r="I407"/>
  <c r="F763"/>
  <c r="I763" s="1"/>
  <c r="I764"/>
  <c r="F75"/>
  <c r="I76"/>
  <c r="F704"/>
  <c r="I705"/>
  <c r="F823"/>
  <c r="I824"/>
  <c r="F333"/>
  <c r="I334"/>
  <c r="F66"/>
  <c r="I67"/>
  <c r="F779"/>
  <c r="I780"/>
  <c r="F318"/>
  <c r="I319"/>
  <c r="F246"/>
  <c r="I247"/>
  <c r="F663"/>
  <c r="I664"/>
  <c r="F728"/>
  <c r="I728" s="1"/>
  <c r="I729"/>
  <c r="F205"/>
  <c r="I205" s="1"/>
  <c r="I206"/>
  <c r="F129"/>
  <c r="I130"/>
  <c r="F726"/>
  <c r="I726" s="1"/>
  <c r="I727"/>
  <c r="F909"/>
  <c r="I909" s="1"/>
  <c r="I910"/>
  <c r="F120"/>
  <c r="I121"/>
  <c r="F43"/>
  <c r="I43" s="1"/>
  <c r="I44"/>
  <c r="F299"/>
  <c r="I300"/>
  <c r="F627"/>
  <c r="I627" s="1"/>
  <c r="I628"/>
  <c r="F646"/>
  <c r="I646" s="1"/>
  <c r="I647"/>
  <c r="F710"/>
  <c r="I711"/>
  <c r="F755"/>
  <c r="I755" s="1"/>
  <c r="I756"/>
  <c r="F893"/>
  <c r="I894"/>
  <c r="F847"/>
  <c r="I847" s="1"/>
  <c r="I848"/>
  <c r="F602"/>
  <c r="I603"/>
  <c r="F29"/>
  <c r="I29" s="1"/>
  <c r="I30"/>
  <c r="F337"/>
  <c r="I338"/>
  <c r="F649"/>
  <c r="I650"/>
  <c r="F774"/>
  <c r="I774" s="1"/>
  <c r="I775"/>
  <c r="F490"/>
  <c r="I491"/>
  <c r="F114"/>
  <c r="I115"/>
  <c r="F190"/>
  <c r="I192"/>
  <c r="F46"/>
  <c r="I47"/>
  <c r="F496"/>
  <c r="I497"/>
  <c r="F624"/>
  <c r="I625"/>
  <c r="F635"/>
  <c r="I636"/>
  <c r="F707"/>
  <c r="I708"/>
  <c r="F752"/>
  <c r="I753"/>
  <c r="F890"/>
  <c r="I891"/>
  <c r="F644"/>
  <c r="I644" s="1"/>
  <c r="I645"/>
  <c r="F99"/>
  <c r="I100"/>
  <c r="F20"/>
  <c r="I20" s="1"/>
  <c r="I21"/>
  <c r="F765"/>
  <c r="I765" s="1"/>
  <c r="I766"/>
  <c r="F24"/>
  <c r="I25"/>
  <c r="F212"/>
  <c r="I213"/>
  <c r="F772"/>
  <c r="I772" s="1"/>
  <c r="I773"/>
  <c r="F897"/>
  <c r="I898"/>
  <c r="F714"/>
  <c r="I715"/>
  <c r="F35"/>
  <c r="I36"/>
  <c r="F111"/>
  <c r="I112"/>
  <c r="F860"/>
  <c r="I860" s="1"/>
  <c r="I861"/>
  <c r="F450"/>
  <c r="I451"/>
  <c r="G214" i="38"/>
  <c r="F841" i="4" s="1"/>
  <c r="J215" i="38"/>
  <c r="I215"/>
  <c r="G552"/>
  <c r="J552" s="1"/>
  <c r="I553"/>
  <c r="H561" i="4" s="1"/>
  <c r="H560" s="1"/>
  <c r="J553" i="38"/>
  <c r="G111"/>
  <c r="J111" s="1"/>
  <c r="I112"/>
  <c r="H200" i="4" s="1"/>
  <c r="H199" s="1"/>
  <c r="H198" s="1"/>
  <c r="H197" s="1"/>
  <c r="H196" s="1"/>
  <c r="J112" i="38"/>
  <c r="F400" i="4"/>
  <c r="J400" i="38"/>
  <c r="I400"/>
  <c r="H400" i="4" s="1"/>
  <c r="H399" s="1"/>
  <c r="H398" s="1"/>
  <c r="H397" s="1"/>
  <c r="H396" s="1"/>
  <c r="G427" i="38"/>
  <c r="I427" s="1"/>
  <c r="J428"/>
  <c r="I428"/>
  <c r="H428" i="4" s="1"/>
  <c r="H427" s="1"/>
  <c r="H426" s="1"/>
  <c r="F460"/>
  <c r="J460" i="38"/>
  <c r="I460"/>
  <c r="H460" i="4" s="1"/>
  <c r="H459" s="1"/>
  <c r="H458" s="1"/>
  <c r="F521"/>
  <c r="I515" i="38"/>
  <c r="H521" i="4" s="1"/>
  <c r="H520" s="1"/>
  <c r="H519" s="1"/>
  <c r="J515" i="38"/>
  <c r="G572"/>
  <c r="J572" s="1"/>
  <c r="J573"/>
  <c r="I573"/>
  <c r="H599" i="4" s="1"/>
  <c r="H598" s="1"/>
  <c r="H597" s="1"/>
  <c r="H596" s="1"/>
  <c r="H595" s="1"/>
  <c r="G679" i="38"/>
  <c r="J679" s="1"/>
  <c r="J680"/>
  <c r="I680"/>
  <c r="H585" i="4" s="1"/>
  <c r="H584" s="1"/>
  <c r="H583" s="1"/>
  <c r="G723" i="38"/>
  <c r="J723" s="1"/>
  <c r="J724"/>
  <c r="I724"/>
  <c r="H695" i="4" s="1"/>
  <c r="H694" s="1"/>
  <c r="H693" s="1"/>
  <c r="F873"/>
  <c r="I845" i="38"/>
  <c r="H873" i="4" s="1"/>
  <c r="H872" s="1"/>
  <c r="H871" s="1"/>
  <c r="H870" s="1"/>
  <c r="H869" s="1"/>
  <c r="J845" i="38"/>
  <c r="G560"/>
  <c r="J560" s="1"/>
  <c r="I561"/>
  <c r="H569" i="4" s="1"/>
  <c r="H568" s="1"/>
  <c r="H567" s="1"/>
  <c r="J561" i="38"/>
  <c r="F813" i="4"/>
  <c r="J192" i="38"/>
  <c r="I192"/>
  <c r="H813" i="4" s="1"/>
  <c r="H812" s="1"/>
  <c r="G211" i="38"/>
  <c r="J211" s="1"/>
  <c r="I212"/>
  <c r="H838" i="4" s="1"/>
  <c r="H837" s="1"/>
  <c r="H836" s="1"/>
  <c r="J212" i="38"/>
  <c r="F799" i="4"/>
  <c r="J178" i="38"/>
  <c r="I178"/>
  <c r="H799" i="4" s="1"/>
  <c r="H798" s="1"/>
  <c r="H797" s="1"/>
  <c r="G96" i="38"/>
  <c r="I96" s="1"/>
  <c r="J97"/>
  <c r="I97"/>
  <c r="H180" i="4" s="1"/>
  <c r="H179" s="1"/>
  <c r="H178" s="1"/>
  <c r="F457"/>
  <c r="I457" i="38"/>
  <c r="H457" i="4" s="1"/>
  <c r="H456" s="1"/>
  <c r="H455" s="1"/>
  <c r="J457" i="38"/>
  <c r="I512"/>
  <c r="J512"/>
  <c r="G563"/>
  <c r="G562" s="1"/>
  <c r="J564"/>
  <c r="I564"/>
  <c r="H572" i="4" s="1"/>
  <c r="H571" s="1"/>
  <c r="H570" s="1"/>
  <c r="G675" i="38"/>
  <c r="J675" s="1"/>
  <c r="I676"/>
  <c r="H581" i="4" s="1"/>
  <c r="H580" s="1"/>
  <c r="H579" s="1"/>
  <c r="H578" s="1"/>
  <c r="J676" i="38"/>
  <c r="F743" i="4"/>
  <c r="J772" i="38"/>
  <c r="I772"/>
  <c r="H743" i="4" s="1"/>
  <c r="H742" s="1"/>
  <c r="H741" s="1"/>
  <c r="H740" s="1"/>
  <c r="H739" s="1"/>
  <c r="G907" i="38"/>
  <c r="I907" s="1"/>
  <c r="I908"/>
  <c r="H238" i="4" s="1"/>
  <c r="H237" s="1"/>
  <c r="H236" s="1"/>
  <c r="H232" s="1"/>
  <c r="H231" s="1"/>
  <c r="J908" i="38"/>
  <c r="I941"/>
  <c r="H288" i="4" s="1"/>
  <c r="H287" s="1"/>
  <c r="H286" s="1"/>
  <c r="H285" s="1"/>
  <c r="H284" s="1"/>
  <c r="J941" i="38"/>
  <c r="G567"/>
  <c r="J567" s="1"/>
  <c r="I568"/>
  <c r="H576" i="4" s="1"/>
  <c r="H575" s="1"/>
  <c r="H574" s="1"/>
  <c r="H573" s="1"/>
  <c r="J568" i="38"/>
  <c r="G193"/>
  <c r="J193" s="1"/>
  <c r="I194"/>
  <c r="H815" i="4" s="1"/>
  <c r="H814" s="1"/>
  <c r="J194" i="38"/>
  <c r="J454"/>
  <c r="I454"/>
  <c r="H454" i="4" s="1"/>
  <c r="H453" s="1"/>
  <c r="H452" s="1"/>
  <c r="I765" i="38"/>
  <c r="H736" i="4" s="1"/>
  <c r="H735" s="1"/>
  <c r="J765" i="38"/>
  <c r="G653"/>
  <c r="J653" s="1"/>
  <c r="I654"/>
  <c r="J654"/>
  <c r="G174"/>
  <c r="G173" s="1"/>
  <c r="I175"/>
  <c r="H796" i="4" s="1"/>
  <c r="H795" s="1"/>
  <c r="H794" s="1"/>
  <c r="J175" i="38"/>
  <c r="G206"/>
  <c r="J206" s="1"/>
  <c r="J207"/>
  <c r="I207"/>
  <c r="H833" i="4" s="1"/>
  <c r="H832" s="1"/>
  <c r="G140" i="38"/>
  <c r="J140" s="1"/>
  <c r="J141"/>
  <c r="I141"/>
  <c r="H259" i="4" s="1"/>
  <c r="H258" s="1"/>
  <c r="H257" s="1"/>
  <c r="G371" i="38"/>
  <c r="J371" s="1"/>
  <c r="I372"/>
  <c r="H372" i="4" s="1"/>
  <c r="H371" s="1"/>
  <c r="H370" s="1"/>
  <c r="J372" i="38"/>
  <c r="G388"/>
  <c r="I388" s="1"/>
  <c r="I389"/>
  <c r="H389" i="4" s="1"/>
  <c r="H388" s="1"/>
  <c r="H387" s="1"/>
  <c r="J389" i="38"/>
  <c r="F420" i="4"/>
  <c r="J420" i="38"/>
  <c r="I420"/>
  <c r="H420" i="4" s="1"/>
  <c r="H419" s="1"/>
  <c r="H418" s="1"/>
  <c r="F434"/>
  <c r="J434" i="38"/>
  <c r="I434"/>
  <c r="H434" i="4" s="1"/>
  <c r="H433" s="1"/>
  <c r="H432" s="1"/>
  <c r="F448"/>
  <c r="I448" i="38"/>
  <c r="H448" i="4" s="1"/>
  <c r="H447" s="1"/>
  <c r="H446" s="1"/>
  <c r="J448" i="38"/>
  <c r="F478" i="4"/>
  <c r="J478" i="38"/>
  <c r="I478"/>
  <c r="H478" i="4" s="1"/>
  <c r="H477" s="1"/>
  <c r="H476" s="1"/>
  <c r="G506" i="38"/>
  <c r="J506" s="1"/>
  <c r="J507"/>
  <c r="I507"/>
  <c r="H507" i="4" s="1"/>
  <c r="H506" s="1"/>
  <c r="H505" s="1"/>
  <c r="G525" i="38"/>
  <c r="J525" s="1"/>
  <c r="J526"/>
  <c r="I526"/>
  <c r="G555"/>
  <c r="G554" s="1"/>
  <c r="J556"/>
  <c r="I556"/>
  <c r="H564" i="4" s="1"/>
  <c r="H563" s="1"/>
  <c r="H562" s="1"/>
  <c r="G639" i="38"/>
  <c r="I639" s="1"/>
  <c r="H515" i="4" s="1"/>
  <c r="H514" s="1"/>
  <c r="H513" s="1"/>
  <c r="I640" i="38"/>
  <c r="J640"/>
  <c r="G670"/>
  <c r="I670" s="1"/>
  <c r="I671"/>
  <c r="H552" i="4" s="1"/>
  <c r="H551" s="1"/>
  <c r="J671" i="38"/>
  <c r="F672" i="4"/>
  <c r="I701" i="38"/>
  <c r="H672" i="4" s="1"/>
  <c r="H671" s="1"/>
  <c r="H670" s="1"/>
  <c r="J701" i="38"/>
  <c r="G715"/>
  <c r="G714" s="1"/>
  <c r="J716"/>
  <c r="I716"/>
  <c r="H687" i="4" s="1"/>
  <c r="H686" s="1"/>
  <c r="H685" s="1"/>
  <c r="H684" s="1"/>
  <c r="F738"/>
  <c r="I767" i="38"/>
  <c r="H738" i="4" s="1"/>
  <c r="H737" s="1"/>
  <c r="J767" i="38"/>
  <c r="G836"/>
  <c r="I836" s="1"/>
  <c r="I837"/>
  <c r="H865" i="4" s="1"/>
  <c r="H864" s="1"/>
  <c r="H863" s="1"/>
  <c r="J837" i="38"/>
  <c r="G855"/>
  <c r="I855" s="1"/>
  <c r="J856"/>
  <c r="I856"/>
  <c r="H884" i="4" s="1"/>
  <c r="H883" s="1"/>
  <c r="H882" s="1"/>
  <c r="F310"/>
  <c r="I963" i="38"/>
  <c r="H310" i="4" s="1"/>
  <c r="H309" s="1"/>
  <c r="H308" s="1"/>
  <c r="H307" s="1"/>
  <c r="H306" s="1"/>
  <c r="J963" i="38"/>
  <c r="G726"/>
  <c r="I726" s="1"/>
  <c r="I727"/>
  <c r="H698" i="4" s="1"/>
  <c r="H697" s="1"/>
  <c r="H696" s="1"/>
  <c r="J727" i="38"/>
  <c r="F262" i="4"/>
  <c r="J144" i="38"/>
  <c r="I144"/>
  <c r="H262" i="4" s="1"/>
  <c r="H261" s="1"/>
  <c r="I315" i="38"/>
  <c r="H185" i="4" s="1"/>
  <c r="H184" s="1"/>
  <c r="H183" s="1"/>
  <c r="H182" s="1"/>
  <c r="H181" s="1"/>
  <c r="J315" i="38"/>
  <c r="J82"/>
  <c r="I82"/>
  <c r="H165" i="4" s="1"/>
  <c r="H164" s="1"/>
  <c r="H163" s="1"/>
  <c r="F349"/>
  <c r="I1002" i="38"/>
  <c r="H349" i="4" s="1"/>
  <c r="H348" s="1"/>
  <c r="H347" s="1"/>
  <c r="J1002" i="38"/>
  <c r="J310"/>
  <c r="I310"/>
  <c r="H145" i="4" s="1"/>
  <c r="H144" s="1"/>
  <c r="H143" s="1"/>
  <c r="F808"/>
  <c r="I187" i="38"/>
  <c r="H808" i="4" s="1"/>
  <c r="H807" s="1"/>
  <c r="J187" i="38"/>
  <c r="F748" i="4"/>
  <c r="I777" i="38"/>
  <c r="H748" i="4" s="1"/>
  <c r="H747" s="1"/>
  <c r="H746" s="1"/>
  <c r="H745" s="1"/>
  <c r="H744" s="1"/>
  <c r="J777" i="38"/>
  <c r="F463" i="4"/>
  <c r="I463" i="38"/>
  <c r="H463" i="4" s="1"/>
  <c r="H462" s="1"/>
  <c r="H461" s="1"/>
  <c r="J463" i="38"/>
  <c r="I683"/>
  <c r="H588" i="4" s="1"/>
  <c r="H587" s="1"/>
  <c r="H586" s="1"/>
  <c r="J683" i="38"/>
  <c r="F366" i="4"/>
  <c r="I366" i="38"/>
  <c r="H366" i="4" s="1"/>
  <c r="H365" s="1"/>
  <c r="H364" s="1"/>
  <c r="J366" i="38"/>
  <c r="F380" i="4"/>
  <c r="I380" i="38"/>
  <c r="H380" i="4" s="1"/>
  <c r="H379" s="1"/>
  <c r="H378" s="1"/>
  <c r="J380" i="38"/>
  <c r="F440" i="4"/>
  <c r="I440" i="38"/>
  <c r="H440" i="4" s="1"/>
  <c r="H439" s="1"/>
  <c r="H438" s="1"/>
  <c r="J440" i="38"/>
  <c r="F487" i="4"/>
  <c r="I487" i="38"/>
  <c r="H487" i="4" s="1"/>
  <c r="H486" s="1"/>
  <c r="H485" s="1"/>
  <c r="J487" i="38"/>
  <c r="G545"/>
  <c r="G544" s="1"/>
  <c r="I546"/>
  <c r="H554" i="4" s="1"/>
  <c r="H553" s="1"/>
  <c r="J546" i="38"/>
  <c r="G647"/>
  <c r="I647" s="1"/>
  <c r="J648"/>
  <c r="I648"/>
  <c r="F679" i="4"/>
  <c r="J708" i="38"/>
  <c r="I708"/>
  <c r="H679" i="4" s="1"/>
  <c r="H678" s="1"/>
  <c r="H677" s="1"/>
  <c r="H676" s="1"/>
  <c r="G827" i="38"/>
  <c r="I827" s="1"/>
  <c r="J828"/>
  <c r="I828"/>
  <c r="H856" i="4" s="1"/>
  <c r="H855" s="1"/>
  <c r="H854" s="1"/>
  <c r="G912" i="38"/>
  <c r="I912" s="1"/>
  <c r="I913"/>
  <c r="H243" i="4" s="1"/>
  <c r="H242" s="1"/>
  <c r="H241" s="1"/>
  <c r="H240" s="1"/>
  <c r="H239" s="1"/>
  <c r="J913" i="38"/>
  <c r="J67"/>
  <c r="I67"/>
  <c r="H150" i="4" s="1"/>
  <c r="H149" s="1"/>
  <c r="H148" s="1"/>
  <c r="J820" i="38"/>
  <c r="I820"/>
  <c r="H820" i="4" s="1"/>
  <c r="H819" s="1"/>
  <c r="H818" s="1"/>
  <c r="H817" s="1"/>
  <c r="H816" s="1"/>
  <c r="G849" i="38"/>
  <c r="G848" s="1"/>
  <c r="I850"/>
  <c r="H878" i="4" s="1"/>
  <c r="H877" s="1"/>
  <c r="H876" s="1"/>
  <c r="J850" i="38"/>
  <c r="G360"/>
  <c r="I360" s="1"/>
  <c r="I361"/>
  <c r="H361" i="4" s="1"/>
  <c r="H360" s="1"/>
  <c r="H359" s="1"/>
  <c r="H358" s="1"/>
  <c r="H357" s="1"/>
  <c r="J361" i="38"/>
  <c r="G374"/>
  <c r="I374" s="1"/>
  <c r="I375"/>
  <c r="H375" i="4" s="1"/>
  <c r="H374" s="1"/>
  <c r="H373" s="1"/>
  <c r="J375" i="38"/>
  <c r="G394"/>
  <c r="J394" s="1"/>
  <c r="I395"/>
  <c r="H395" i="4" s="1"/>
  <c r="H394" s="1"/>
  <c r="H393" s="1"/>
  <c r="J395" i="38"/>
  <c r="F425" i="4"/>
  <c r="J425" i="38"/>
  <c r="I425"/>
  <c r="H425" i="4" s="1"/>
  <c r="H424" s="1"/>
  <c r="H423" s="1"/>
  <c r="G436" i="38"/>
  <c r="G435" s="1"/>
  <c r="I437"/>
  <c r="H437" i="4" s="1"/>
  <c r="H436" s="1"/>
  <c r="H435" s="1"/>
  <c r="J437" i="38"/>
  <c r="F484" i="4"/>
  <c r="I484" i="38"/>
  <c r="H484" i="4" s="1"/>
  <c r="H483" s="1"/>
  <c r="H482" s="1"/>
  <c r="J484" i="38"/>
  <c r="I529"/>
  <c r="H535" i="4" s="1"/>
  <c r="H534" s="1"/>
  <c r="H533" s="1"/>
  <c r="J529" i="38"/>
  <c r="F518" i="4"/>
  <c r="J643" i="38"/>
  <c r="I643"/>
  <c r="H518" i="4" s="1"/>
  <c r="H517" s="1"/>
  <c r="H516" s="1"/>
  <c r="F675"/>
  <c r="I704" i="38"/>
  <c r="H675" i="4" s="1"/>
  <c r="H674" s="1"/>
  <c r="H673" s="1"/>
  <c r="J704" i="38"/>
  <c r="G720"/>
  <c r="J720" s="1"/>
  <c r="J721"/>
  <c r="I721"/>
  <c r="H692" i="4" s="1"/>
  <c r="H691" s="1"/>
  <c r="H690" s="1"/>
  <c r="F868"/>
  <c r="I840" i="38"/>
  <c r="H868" i="4" s="1"/>
  <c r="H867" s="1"/>
  <c r="H866" s="1"/>
  <c r="J840" i="38"/>
  <c r="F315" i="4"/>
  <c r="J968" i="38"/>
  <c r="I968"/>
  <c r="H315" i="4" s="1"/>
  <c r="H314" s="1"/>
  <c r="H313" s="1"/>
  <c r="H312" s="1"/>
  <c r="H311" s="1"/>
  <c r="G73" i="38"/>
  <c r="G72" s="1"/>
  <c r="I74"/>
  <c r="H157" i="4" s="1"/>
  <c r="H156" s="1"/>
  <c r="H155" s="1"/>
  <c r="H154" s="1"/>
  <c r="J74" i="38"/>
  <c r="F481" i="4"/>
  <c r="I481" i="38"/>
  <c r="H481" i="4" s="1"/>
  <c r="H480" s="1"/>
  <c r="H479" s="1"/>
  <c r="J481" i="38"/>
  <c r="I307"/>
  <c r="H142" i="4" s="1"/>
  <c r="H141" s="1"/>
  <c r="H140" s="1"/>
  <c r="J307" i="38"/>
  <c r="G998"/>
  <c r="I998" s="1"/>
  <c r="I999"/>
  <c r="H346" i="4" s="1"/>
  <c r="H345" s="1"/>
  <c r="H344" s="1"/>
  <c r="J999" i="38"/>
  <c r="F168" i="4"/>
  <c r="I85" i="38"/>
  <c r="H168" i="4" s="1"/>
  <c r="H167" s="1"/>
  <c r="H166" s="1"/>
  <c r="J85" i="38"/>
  <c r="F810" i="4"/>
  <c r="J189" i="38"/>
  <c r="I189"/>
  <c r="H810" i="4" s="1"/>
  <c r="H809" s="1"/>
  <c r="G182" i="38"/>
  <c r="G181" s="1"/>
  <c r="J183"/>
  <c r="I183"/>
  <c r="H804" i="4" s="1"/>
  <c r="H803" s="1"/>
  <c r="H802" s="1"/>
  <c r="H801" s="1"/>
  <c r="F254"/>
  <c r="I136" i="38"/>
  <c r="H254" i="4" s="1"/>
  <c r="H253" s="1"/>
  <c r="H252" s="1"/>
  <c r="H251" s="1"/>
  <c r="H250" s="1"/>
  <c r="J136" i="38"/>
  <c r="G368"/>
  <c r="I368" s="1"/>
  <c r="J369"/>
  <c r="I369"/>
  <c r="H369" i="4" s="1"/>
  <c r="H368" s="1"/>
  <c r="H367" s="1"/>
  <c r="F383"/>
  <c r="J383" i="38"/>
  <c r="I383"/>
  <c r="H383" i="4" s="1"/>
  <c r="H382" s="1"/>
  <c r="H381" s="1"/>
  <c r="G416" i="38"/>
  <c r="G415" s="1"/>
  <c r="I417"/>
  <c r="H417" i="4" s="1"/>
  <c r="H416" s="1"/>
  <c r="H415" s="1"/>
  <c r="H414" s="1"/>
  <c r="H413" s="1"/>
  <c r="J417" i="38"/>
  <c r="F431" i="4"/>
  <c r="I431" i="38"/>
  <c r="H431" i="4" s="1"/>
  <c r="H430" s="1"/>
  <c r="H429" s="1"/>
  <c r="J431" i="38"/>
  <c r="G444"/>
  <c r="I444" s="1"/>
  <c r="I445"/>
  <c r="H445" i="4" s="1"/>
  <c r="H444" s="1"/>
  <c r="H443" s="1"/>
  <c r="J445" i="38"/>
  <c r="G466"/>
  <c r="I466" s="1"/>
  <c r="I467"/>
  <c r="H467" i="4" s="1"/>
  <c r="H466" s="1"/>
  <c r="H465" s="1"/>
  <c r="H464" s="1"/>
  <c r="J467" i="38"/>
  <c r="G503"/>
  <c r="J503" s="1"/>
  <c r="I504"/>
  <c r="H504" i="4" s="1"/>
  <c r="H503" s="1"/>
  <c r="H502" s="1"/>
  <c r="H501" s="1"/>
  <c r="H500" s="1"/>
  <c r="J504" i="38"/>
  <c r="F524" i="4"/>
  <c r="J518" i="38"/>
  <c r="I518"/>
  <c r="H524" i="4" s="1"/>
  <c r="H523" s="1"/>
  <c r="H522" s="1"/>
  <c r="F559"/>
  <c r="I551" i="38"/>
  <c r="H559" i="4" s="1"/>
  <c r="H558" s="1"/>
  <c r="J551" i="38"/>
  <c r="G636"/>
  <c r="I636" s="1"/>
  <c r="J637"/>
  <c r="I637"/>
  <c r="G650"/>
  <c r="I650" s="1"/>
  <c r="I651"/>
  <c r="J651"/>
  <c r="F591" i="4"/>
  <c r="I686" i="38"/>
  <c r="H591" i="4" s="1"/>
  <c r="H590" s="1"/>
  <c r="H589" s="1"/>
  <c r="J686" i="38"/>
  <c r="G711"/>
  <c r="J711" s="1"/>
  <c r="J712"/>
  <c r="I712"/>
  <c r="H683" i="4" s="1"/>
  <c r="H682" s="1"/>
  <c r="H681" s="1"/>
  <c r="H680" s="1"/>
  <c r="F701"/>
  <c r="I730" i="38"/>
  <c r="H701" i="4" s="1"/>
  <c r="H700" s="1"/>
  <c r="H699" s="1"/>
  <c r="J730" i="38"/>
  <c r="F859" i="4"/>
  <c r="I831" i="38"/>
  <c r="H859" i="4" s="1"/>
  <c r="H858" s="1"/>
  <c r="H857" s="1"/>
  <c r="J831" i="38"/>
  <c r="G852"/>
  <c r="J852" s="1"/>
  <c r="I853"/>
  <c r="H881" i="4" s="1"/>
  <c r="H880" s="1"/>
  <c r="H879" s="1"/>
  <c r="J853" i="38"/>
  <c r="G945"/>
  <c r="G944" s="1"/>
  <c r="I946"/>
  <c r="H293" i="4" s="1"/>
  <c r="H292" s="1"/>
  <c r="H291" s="1"/>
  <c r="J946" i="38"/>
  <c r="F616" i="4"/>
  <c r="J162" i="38"/>
  <c r="I162"/>
  <c r="H616" i="4" s="1"/>
  <c r="H615" s="1"/>
  <c r="H612" s="1"/>
  <c r="H611" s="1"/>
  <c r="F153"/>
  <c r="I70" i="38"/>
  <c r="H153" i="4" s="1"/>
  <c r="H152" s="1"/>
  <c r="H151" s="1"/>
  <c r="J70" i="38"/>
  <c r="G948"/>
  <c r="J948" s="1"/>
  <c r="I949"/>
  <c r="H296" i="4" s="1"/>
  <c r="H295" s="1"/>
  <c r="H294" s="1"/>
  <c r="J949" i="38"/>
  <c r="F386" i="4"/>
  <c r="J386" i="38"/>
  <c r="I386"/>
  <c r="H386" i="4" s="1"/>
  <c r="H385" s="1"/>
  <c r="H384" s="1"/>
  <c r="G522" i="38"/>
  <c r="G521" s="1"/>
  <c r="I523"/>
  <c r="H529" i="4" s="1"/>
  <c r="H528" s="1"/>
  <c r="H527" s="1"/>
  <c r="J523" i="38"/>
  <c r="F620" i="4"/>
  <c r="J584" i="38"/>
  <c r="I584"/>
  <c r="H620" i="4" s="1"/>
  <c r="H619" s="1"/>
  <c r="H618" s="1"/>
  <c r="H617" s="1"/>
  <c r="J103" i="38"/>
  <c r="I103"/>
  <c r="J322"/>
  <c r="I322"/>
  <c r="I596"/>
  <c r="J596"/>
  <c r="G780"/>
  <c r="I781"/>
  <c r="J781"/>
  <c r="J214"/>
  <c r="G296"/>
  <c r="I297"/>
  <c r="J297"/>
  <c r="G884"/>
  <c r="I885"/>
  <c r="J885"/>
  <c r="G293"/>
  <c r="J294"/>
  <c r="I294"/>
  <c r="G587"/>
  <c r="I588"/>
  <c r="J588"/>
  <c r="G735"/>
  <c r="J736"/>
  <c r="I736"/>
  <c r="J787"/>
  <c r="I787"/>
  <c r="G864"/>
  <c r="I865"/>
  <c r="J865"/>
  <c r="I23"/>
  <c r="J23"/>
  <c r="G656"/>
  <c r="J657"/>
  <c r="I657"/>
  <c r="J998"/>
  <c r="G274"/>
  <c r="J275"/>
  <c r="I275"/>
  <c r="G240"/>
  <c r="J241"/>
  <c r="I241"/>
  <c r="J58"/>
  <c r="I58"/>
  <c r="I608"/>
  <c r="J608"/>
  <c r="G254"/>
  <c r="I255"/>
  <c r="J255"/>
  <c r="G344"/>
  <c r="J345"/>
  <c r="I345"/>
  <c r="G537"/>
  <c r="I538"/>
  <c r="J538"/>
  <c r="G601"/>
  <c r="I602"/>
  <c r="J602"/>
  <c r="G691"/>
  <c r="I692"/>
  <c r="J692"/>
  <c r="I805"/>
  <c r="J805"/>
  <c r="G861"/>
  <c r="I862"/>
  <c r="J862"/>
  <c r="G659"/>
  <c r="I660"/>
  <c r="J660"/>
  <c r="J21"/>
  <c r="I21"/>
  <c r="I206"/>
  <c r="G669"/>
  <c r="G973"/>
  <c r="I974"/>
  <c r="J974"/>
  <c r="G28"/>
  <c r="J29"/>
  <c r="I29"/>
  <c r="J33"/>
  <c r="I33"/>
  <c r="G287"/>
  <c r="J288"/>
  <c r="I288"/>
  <c r="G791"/>
  <c r="I792"/>
  <c r="J792"/>
  <c r="G810"/>
  <c r="I811"/>
  <c r="J811"/>
  <c r="J270"/>
  <c r="I270"/>
  <c r="G45"/>
  <c r="I46"/>
  <c r="J46"/>
  <c r="G119"/>
  <c r="J120"/>
  <c r="I120"/>
  <c r="G615"/>
  <c r="J616"/>
  <c r="I616"/>
  <c r="G150"/>
  <c r="J151"/>
  <c r="I151"/>
  <c r="G492"/>
  <c r="J493"/>
  <c r="I493"/>
  <c r="J620"/>
  <c r="I620"/>
  <c r="G745"/>
  <c r="I746"/>
  <c r="J746"/>
  <c r="G25"/>
  <c r="J26"/>
  <c r="I26"/>
  <c r="G722"/>
  <c r="J318"/>
  <c r="I318"/>
  <c r="I272"/>
  <c r="J272"/>
  <c r="G196"/>
  <c r="J197"/>
  <c r="I197"/>
  <c r="G126"/>
  <c r="J127"/>
  <c r="I127"/>
  <c r="I931"/>
  <c r="J931"/>
  <c r="G277"/>
  <c r="J278"/>
  <c r="I278"/>
  <c r="I235"/>
  <c r="J235"/>
  <c r="J60"/>
  <c r="I60"/>
  <c r="G101"/>
  <c r="I102"/>
  <c r="J102"/>
  <c r="G495"/>
  <c r="I496"/>
  <c r="J496"/>
  <c r="G14"/>
  <c r="I15"/>
  <c r="J15"/>
  <c r="G350"/>
  <c r="J351"/>
  <c r="I351"/>
  <c r="I610"/>
  <c r="J610"/>
  <c r="G927"/>
  <c r="I928"/>
  <c r="J928"/>
  <c r="J219"/>
  <c r="I219"/>
  <c r="G228"/>
  <c r="I229"/>
  <c r="J229"/>
  <c r="G1004"/>
  <c r="I1005"/>
  <c r="J1005"/>
  <c r="I237"/>
  <c r="J237"/>
  <c r="G290"/>
  <c r="I291"/>
  <c r="J291"/>
  <c r="I755"/>
  <c r="J755"/>
  <c r="G858"/>
  <c r="I859"/>
  <c r="J859"/>
  <c r="G980"/>
  <c r="I981"/>
  <c r="J981"/>
  <c r="I803"/>
  <c r="J803"/>
  <c r="J594"/>
  <c r="I594"/>
  <c r="G738"/>
  <c r="I739"/>
  <c r="J739"/>
  <c r="G243"/>
  <c r="J244"/>
  <c r="I244"/>
  <c r="G333"/>
  <c r="I334"/>
  <c r="J334"/>
  <c r="G534"/>
  <c r="I535"/>
  <c r="J535"/>
  <c r="G598"/>
  <c r="I599"/>
  <c r="J599"/>
  <c r="G662"/>
  <c r="I663"/>
  <c r="J663"/>
  <c r="I789"/>
  <c r="J789"/>
  <c r="I115"/>
  <c r="J115"/>
  <c r="G748"/>
  <c r="I749"/>
  <c r="J749"/>
  <c r="G951"/>
  <c r="I952"/>
  <c r="J952"/>
  <c r="J320"/>
  <c r="I320"/>
  <c r="J879"/>
  <c r="I879"/>
  <c r="G123"/>
  <c r="I124"/>
  <c r="J124"/>
  <c r="G989"/>
  <c r="J990"/>
  <c r="I990"/>
  <c r="J606"/>
  <c r="I606"/>
  <c r="J337"/>
  <c r="I337"/>
  <c r="I877"/>
  <c r="J877"/>
  <c r="I40"/>
  <c r="H58" i="4" s="1"/>
  <c r="H57" s="1"/>
  <c r="H56" s="1"/>
  <c r="H52" s="1"/>
  <c r="H51" s="1"/>
  <c r="H37" s="1"/>
  <c r="F12" i="46" s="1"/>
  <c r="J40" i="38"/>
  <c r="G109" i="47"/>
  <c r="I110"/>
  <c r="J110"/>
  <c r="G26"/>
  <c r="J27"/>
  <c r="I27"/>
  <c r="G123"/>
  <c r="J124"/>
  <c r="I124"/>
  <c r="G197"/>
  <c r="I198"/>
  <c r="J198"/>
  <c r="G262"/>
  <c r="J263"/>
  <c r="I263"/>
  <c r="G302"/>
  <c r="I303"/>
  <c r="J303"/>
  <c r="G349"/>
  <c r="J350"/>
  <c r="I350"/>
  <c r="G400"/>
  <c r="J401"/>
  <c r="I401"/>
  <c r="G512"/>
  <c r="J513"/>
  <c r="I513"/>
  <c r="G623"/>
  <c r="I624"/>
  <c r="J624"/>
  <c r="G704"/>
  <c r="I705"/>
  <c r="J705"/>
  <c r="G426"/>
  <c r="I427"/>
  <c r="J427"/>
  <c r="G204"/>
  <c r="I205"/>
  <c r="J205"/>
  <c r="G89"/>
  <c r="J90"/>
  <c r="I90"/>
  <c r="G416"/>
  <c r="J417"/>
  <c r="I417"/>
  <c r="G60"/>
  <c r="J61"/>
  <c r="I61"/>
  <c r="G33"/>
  <c r="I34"/>
  <c r="J34"/>
  <c r="G42"/>
  <c r="J43"/>
  <c r="I43"/>
  <c r="G145"/>
  <c r="J146"/>
  <c r="I146"/>
  <c r="G225"/>
  <c r="I226"/>
  <c r="J226"/>
  <c r="G276"/>
  <c r="J277"/>
  <c r="I277"/>
  <c r="G322"/>
  <c r="J323"/>
  <c r="I323"/>
  <c r="G365"/>
  <c r="I366"/>
  <c r="J366"/>
  <c r="G437"/>
  <c r="I438"/>
  <c r="J438"/>
  <c r="G567"/>
  <c r="J568"/>
  <c r="I568"/>
  <c r="G754"/>
  <c r="J755"/>
  <c r="I755"/>
  <c r="G254"/>
  <c r="J255"/>
  <c r="I255"/>
  <c r="G561"/>
  <c r="J562"/>
  <c r="I562"/>
  <c r="J660"/>
  <c r="I660"/>
  <c r="G251"/>
  <c r="G250" s="1"/>
  <c r="I252"/>
  <c r="J252"/>
  <c r="G39"/>
  <c r="J40"/>
  <c r="I40"/>
  <c r="G36"/>
  <c r="I37"/>
  <c r="J37"/>
  <c r="G106"/>
  <c r="I107"/>
  <c r="J107"/>
  <c r="G136"/>
  <c r="I137"/>
  <c r="J137"/>
  <c r="G175"/>
  <c r="I176"/>
  <c r="J176"/>
  <c r="G219"/>
  <c r="I220"/>
  <c r="J220"/>
  <c r="G689" i="38"/>
  <c r="F594" i="4" s="1"/>
  <c r="J238" i="47"/>
  <c r="I238"/>
  <c r="G270"/>
  <c r="J271"/>
  <c r="I271"/>
  <c r="G291"/>
  <c r="I292"/>
  <c r="J292"/>
  <c r="G316"/>
  <c r="J317"/>
  <c r="I317"/>
  <c r="G341"/>
  <c r="J342"/>
  <c r="I342"/>
  <c r="G359"/>
  <c r="I360"/>
  <c r="J360"/>
  <c r="G381"/>
  <c r="I382"/>
  <c r="J382"/>
  <c r="G410"/>
  <c r="J411"/>
  <c r="I411"/>
  <c r="G458"/>
  <c r="J459"/>
  <c r="I459"/>
  <c r="G553"/>
  <c r="I554"/>
  <c r="J554"/>
  <c r="G595"/>
  <c r="I596"/>
  <c r="J596"/>
  <c r="G651"/>
  <c r="I652"/>
  <c r="J652"/>
  <c r="G732"/>
  <c r="I733"/>
  <c r="J733"/>
  <c r="G539"/>
  <c r="G538" s="1"/>
  <c r="J541"/>
  <c r="I541"/>
  <c r="J469"/>
  <c r="I469"/>
  <c r="G499"/>
  <c r="J500"/>
  <c r="I500"/>
  <c r="G740"/>
  <c r="I741"/>
  <c r="J741"/>
  <c r="G518"/>
  <c r="I519"/>
  <c r="J519"/>
  <c r="G79"/>
  <c r="I80"/>
  <c r="J80"/>
  <c r="G86"/>
  <c r="I87"/>
  <c r="J87"/>
  <c r="J520"/>
  <c r="I520"/>
  <c r="G672"/>
  <c r="J673"/>
  <c r="I673"/>
  <c r="G66"/>
  <c r="J67"/>
  <c r="I67"/>
  <c r="G50"/>
  <c r="I51"/>
  <c r="J51"/>
  <c r="G152"/>
  <c r="J153"/>
  <c r="I153"/>
  <c r="G281"/>
  <c r="I282"/>
  <c r="J282"/>
  <c r="G326"/>
  <c r="I327"/>
  <c r="J327"/>
  <c r="G369"/>
  <c r="I370"/>
  <c r="J370"/>
  <c r="G441"/>
  <c r="I442"/>
  <c r="J442"/>
  <c r="G573"/>
  <c r="I574"/>
  <c r="J574"/>
  <c r="G685"/>
  <c r="J686"/>
  <c r="I686"/>
  <c r="G493"/>
  <c r="I494"/>
  <c r="J494"/>
  <c r="G605"/>
  <c r="I606"/>
  <c r="J606"/>
  <c r="G505"/>
  <c r="I506"/>
  <c r="J506"/>
  <c r="I23"/>
  <c r="J23"/>
  <c r="G115"/>
  <c r="I116"/>
  <c r="J116"/>
  <c r="G183"/>
  <c r="I184"/>
  <c r="J184"/>
  <c r="G245"/>
  <c r="I246"/>
  <c r="J246"/>
  <c r="G296"/>
  <c r="J297"/>
  <c r="I297"/>
  <c r="G345"/>
  <c r="J346"/>
  <c r="I346"/>
  <c r="G396"/>
  <c r="J397"/>
  <c r="I397"/>
  <c r="G464"/>
  <c r="J465"/>
  <c r="I465"/>
  <c r="G611"/>
  <c r="I612"/>
  <c r="J612"/>
  <c r="G665"/>
  <c r="I666"/>
  <c r="J666"/>
  <c r="G167"/>
  <c r="I168"/>
  <c r="J168"/>
  <c r="G712"/>
  <c r="I713"/>
  <c r="J713"/>
  <c r="G74"/>
  <c r="I75"/>
  <c r="J75"/>
  <c r="G95"/>
  <c r="I96"/>
  <c r="J96"/>
  <c r="G679"/>
  <c r="I680"/>
  <c r="J680"/>
  <c r="G452"/>
  <c r="I453"/>
  <c r="J453"/>
  <c r="G467"/>
  <c r="I468"/>
  <c r="J468"/>
  <c r="I112"/>
  <c r="J112"/>
  <c r="G599"/>
  <c r="I600"/>
  <c r="J600"/>
  <c r="G30"/>
  <c r="J31"/>
  <c r="I31"/>
  <c r="G53"/>
  <c r="J54"/>
  <c r="I54"/>
  <c r="G129"/>
  <c r="I130"/>
  <c r="J130"/>
  <c r="G159"/>
  <c r="I160"/>
  <c r="J160"/>
  <c r="G212"/>
  <c r="J213"/>
  <c r="I213"/>
  <c r="G231"/>
  <c r="J232"/>
  <c r="I232"/>
  <c r="G266"/>
  <c r="J267"/>
  <c r="I267"/>
  <c r="G287"/>
  <c r="J288"/>
  <c r="I288"/>
  <c r="G311"/>
  <c r="J312"/>
  <c r="I312"/>
  <c r="G330"/>
  <c r="I331"/>
  <c r="J331"/>
  <c r="G354"/>
  <c r="J355"/>
  <c r="I355"/>
  <c r="G375"/>
  <c r="I376"/>
  <c r="J376"/>
  <c r="G406"/>
  <c r="J407"/>
  <c r="I407"/>
  <c r="G445"/>
  <c r="J446"/>
  <c r="I446"/>
  <c r="G546"/>
  <c r="I547"/>
  <c r="J547"/>
  <c r="G581"/>
  <c r="I582"/>
  <c r="J582"/>
  <c r="G629"/>
  <c r="I630"/>
  <c r="J630"/>
  <c r="G698"/>
  <c r="I699"/>
  <c r="J699"/>
  <c r="G490"/>
  <c r="J491"/>
  <c r="I491"/>
  <c r="G389"/>
  <c r="I390"/>
  <c r="J390"/>
  <c r="G98"/>
  <c r="J99"/>
  <c r="I99"/>
  <c r="G14"/>
  <c r="J15"/>
  <c r="I15"/>
  <c r="C10" i="40"/>
  <c r="G659" i="47"/>
  <c r="G22"/>
  <c r="F820" i="4"/>
  <c r="G66" i="38"/>
  <c r="F14" i="4"/>
  <c r="G682" i="38"/>
  <c r="G897"/>
  <c r="G618" i="47"/>
  <c r="D548" i="4"/>
  <c r="A548"/>
  <c r="G309" i="38"/>
  <c r="J14" i="56" s="1"/>
  <c r="F145" i="4"/>
  <c r="G306" i="38"/>
  <c r="J13" i="56" s="1"/>
  <c r="F142" i="4"/>
  <c r="G691" i="47"/>
  <c r="G971" i="38"/>
  <c r="G895"/>
  <c r="F33" i="4"/>
  <c r="G801" i="38"/>
  <c r="F105" i="4"/>
  <c r="I105" s="1"/>
  <c r="G757" i="38"/>
  <c r="F467" i="4"/>
  <c r="G473" i="47"/>
  <c r="G528"/>
  <c r="G90" i="38"/>
  <c r="G534" i="47"/>
  <c r="G433" i="38"/>
  <c r="G472"/>
  <c r="D257" i="4"/>
  <c r="D258"/>
  <c r="G431" i="47"/>
  <c r="F428" i="4"/>
  <c r="F512"/>
  <c r="G191" i="38"/>
  <c r="F643" i="4"/>
  <c r="G146" i="38"/>
  <c r="G85" i="47"/>
  <c r="G733" i="38"/>
  <c r="G978"/>
  <c r="G205"/>
  <c r="G94"/>
  <c r="G725" i="47"/>
  <c r="G406" i="38"/>
  <c r="G263"/>
  <c r="D256" i="4"/>
  <c r="G15" i="49"/>
  <c r="G622" i="38"/>
  <c r="G797"/>
  <c r="G423" i="47"/>
  <c r="G580" i="38"/>
  <c r="G328"/>
  <c r="C16" i="40"/>
  <c r="G249" i="38"/>
  <c r="F815" i="4"/>
  <c r="F761"/>
  <c r="F833"/>
  <c r="G933" i="38"/>
  <c r="G409"/>
  <c r="G819"/>
  <c r="G753"/>
  <c r="G771"/>
  <c r="F89" i="4"/>
  <c r="G49" i="38"/>
  <c r="G117"/>
  <c r="E93"/>
  <c r="E94" s="1"/>
  <c r="D177" i="4" s="1"/>
  <c r="G177" i="38"/>
  <c r="F372" i="4"/>
  <c r="G962" i="38"/>
  <c r="F238" i="4"/>
  <c r="F361"/>
  <c r="I361" s="1"/>
  <c r="F191"/>
  <c r="I191" s="1"/>
  <c r="G20" i="38"/>
  <c r="G336"/>
  <c r="G269"/>
  <c r="G317"/>
  <c r="G786"/>
  <c r="G234"/>
  <c r="F581" i="4"/>
  <c r="G221" i="38"/>
  <c r="F124" i="4"/>
  <c r="F884"/>
  <c r="G605" i="38"/>
  <c r="F888" i="4"/>
  <c r="G795" i="38"/>
  <c r="F50" i="4"/>
  <c r="G916" i="38"/>
  <c r="F54" i="4"/>
  <c r="G399" i="38"/>
  <c r="G325"/>
  <c r="F539" i="4"/>
  <c r="G876" i="38"/>
  <c r="F687" i="4"/>
  <c r="G483" i="38"/>
  <c r="G550"/>
  <c r="F856" i="4"/>
  <c r="F762"/>
  <c r="I762" s="1"/>
  <c r="F532"/>
  <c r="E89" i="38"/>
  <c r="E90" s="1"/>
  <c r="D173" i="4" s="1"/>
  <c r="G844" i="38"/>
  <c r="F346" i="4"/>
  <c r="F535"/>
  <c r="G81" i="38"/>
  <c r="F165" i="4"/>
  <c r="G484" i="47"/>
  <c r="G237"/>
  <c r="G192"/>
  <c r="G925" i="38"/>
  <c r="G747" i="47"/>
  <c r="D167" i="4"/>
  <c r="G528" i="38"/>
  <c r="F838" i="4"/>
  <c r="F695"/>
  <c r="F554"/>
  <c r="G517" i="38"/>
  <c r="G379"/>
  <c r="F150" i="4"/>
  <c r="G481" i="47"/>
  <c r="G719"/>
  <c r="G308"/>
  <c r="F881" i="4"/>
  <c r="F572"/>
  <c r="G729" i="38"/>
  <c r="F445" i="4"/>
  <c r="G707" i="38"/>
  <c r="F437" i="4"/>
  <c r="G685" i="38"/>
  <c r="G161"/>
  <c r="F804" i="4"/>
  <c r="F683"/>
  <c r="G514" i="38"/>
  <c r="F564" i="4"/>
  <c r="G459" i="38"/>
  <c r="F507" i="4"/>
  <c r="G703" i="38"/>
  <c r="C7" i="40"/>
  <c r="F59" i="4"/>
  <c r="I59" s="1"/>
  <c r="F200"/>
  <c r="F395"/>
  <c r="F588"/>
  <c r="G477" i="38"/>
  <c r="F259" i="4"/>
  <c r="F878"/>
  <c r="F80"/>
  <c r="G808" i="38"/>
  <c r="F107" i="4"/>
  <c r="F375"/>
  <c r="G447" i="38"/>
  <c r="F157" i="4"/>
  <c r="G424" i="38"/>
  <c r="G284"/>
  <c r="G490"/>
  <c r="G986"/>
  <c r="G593"/>
  <c r="F83" i="4"/>
  <c r="G403" i="38"/>
  <c r="F783" i="4"/>
  <c r="G869" i="38"/>
  <c r="G430"/>
  <c r="G186"/>
  <c r="F504" i="4"/>
  <c r="G583" i="38"/>
  <c r="F585" i="4"/>
  <c r="F692"/>
  <c r="G613" i="38"/>
  <c r="F576" i="4"/>
  <c r="G267" i="38"/>
  <c r="G167"/>
  <c r="F209" i="4"/>
  <c r="F84"/>
  <c r="I84" s="1"/>
  <c r="G54" i="38"/>
  <c r="F136" i="4"/>
  <c r="G57" i="38"/>
  <c r="F64" i="4"/>
  <c r="G450" i="38"/>
  <c r="F698" i="4"/>
  <c r="G967" i="38"/>
  <c r="E66"/>
  <c r="G419"/>
  <c r="F185" i="4"/>
  <c r="F369"/>
  <c r="G439" i="38"/>
  <c r="G511"/>
  <c r="F796" i="4"/>
  <c r="F569"/>
  <c r="G143" i="38"/>
  <c r="F788" i="4"/>
  <c r="F180"/>
  <c r="F552"/>
  <c r="G69" i="38"/>
  <c r="F389" i="4"/>
  <c r="F243"/>
  <c r="G84" i="38"/>
  <c r="F865" i="4"/>
  <c r="E112" i="38"/>
  <c r="D200" i="4" s="1"/>
  <c r="D199"/>
  <c r="F614"/>
  <c r="G159" i="38"/>
  <c r="G940"/>
  <c r="F288" i="4"/>
  <c r="G764" i="38"/>
  <c r="F736" i="4"/>
  <c r="G624" i="38"/>
  <c r="F661" i="4"/>
  <c r="G486" i="38"/>
  <c r="G638" i="47"/>
  <c r="G79" i="38"/>
  <c r="G143" i="47"/>
  <c r="G766" i="38"/>
  <c r="C15" i="40"/>
  <c r="G776" i="38"/>
  <c r="F92" i="4"/>
  <c r="G627" i="38"/>
  <c r="G462"/>
  <c r="F134" i="4"/>
  <c r="D198"/>
  <c r="G314" i="38"/>
  <c r="G42"/>
  <c r="G480"/>
  <c r="F417" i="4"/>
  <c r="G894" i="38"/>
  <c r="G188"/>
  <c r="F28" i="4"/>
  <c r="I28" s="1"/>
  <c r="G588" i="47"/>
  <c r="F626" i="4"/>
  <c r="I626" s="1"/>
  <c r="G532" i="38"/>
  <c r="F58" i="4"/>
  <c r="G830" i="38"/>
  <c r="F529" i="4"/>
  <c r="G1001" i="38"/>
  <c r="F293" i="4"/>
  <c r="D166"/>
  <c r="G839" i="38"/>
  <c r="G475"/>
  <c r="F296" i="4"/>
  <c r="F599"/>
  <c r="G700" i="38"/>
  <c r="F846" i="4"/>
  <c r="G382" i="38"/>
  <c r="G743"/>
  <c r="F40" i="4"/>
  <c r="I40" s="1"/>
  <c r="G453" i="38"/>
  <c r="F454" i="4"/>
  <c r="F561"/>
  <c r="G365" i="38"/>
  <c r="E69"/>
  <c r="E70" s="1"/>
  <c r="G456"/>
  <c r="G135"/>
  <c r="G642"/>
  <c r="G385"/>
  <c r="J15" i="56" l="1"/>
  <c r="M15" s="1"/>
  <c r="L13"/>
  <c r="M13"/>
  <c r="M14"/>
  <c r="L14"/>
  <c r="L15" s="1"/>
  <c r="C24" i="40"/>
  <c r="E25"/>
  <c r="F25"/>
  <c r="G14" i="49"/>
  <c r="G13" s="1"/>
  <c r="G12" s="1"/>
  <c r="G11" s="1"/>
  <c r="G10" s="1"/>
  <c r="I15"/>
  <c r="I14" s="1"/>
  <c r="I13" s="1"/>
  <c r="I12" s="1"/>
  <c r="I11" s="1"/>
  <c r="I10" s="1"/>
  <c r="I9" s="1"/>
  <c r="J15"/>
  <c r="J14" s="1"/>
  <c r="J13" s="1"/>
  <c r="J12" s="1"/>
  <c r="I852" i="38"/>
  <c r="J73"/>
  <c r="G566"/>
  <c r="J566" s="1"/>
  <c r="I567"/>
  <c r="I73"/>
  <c r="J374"/>
  <c r="G835"/>
  <c r="J835" s="1"/>
  <c r="I948"/>
  <c r="G210"/>
  <c r="I210" s="1"/>
  <c r="G826"/>
  <c r="J826" s="1"/>
  <c r="J836"/>
  <c r="F19" i="4"/>
  <c r="I19" s="1"/>
  <c r="G947" i="38"/>
  <c r="G851"/>
  <c r="J851" s="1"/>
  <c r="J827"/>
  <c r="I506"/>
  <c r="I552"/>
  <c r="F202" i="4"/>
  <c r="I202" s="1"/>
  <c r="F908"/>
  <c r="F907" s="1"/>
  <c r="F135"/>
  <c r="I135" s="1"/>
  <c r="I136"/>
  <c r="F782"/>
  <c r="I783"/>
  <c r="F760"/>
  <c r="I761"/>
  <c r="F110"/>
  <c r="I110" s="1"/>
  <c r="I111"/>
  <c r="F713"/>
  <c r="I714"/>
  <c r="F23"/>
  <c r="I23" s="1"/>
  <c r="I24"/>
  <c r="F634"/>
  <c r="I634" s="1"/>
  <c r="I635"/>
  <c r="F189"/>
  <c r="I190"/>
  <c r="F648"/>
  <c r="I648" s="1"/>
  <c r="I649"/>
  <c r="F298"/>
  <c r="I299"/>
  <c r="F662"/>
  <c r="I662" s="1"/>
  <c r="I663"/>
  <c r="F65"/>
  <c r="I65" s="1"/>
  <c r="I66"/>
  <c r="F74"/>
  <c r="I75"/>
  <c r="F408"/>
  <c r="I408" s="1"/>
  <c r="I409"/>
  <c r="F631"/>
  <c r="I631" s="1"/>
  <c r="I632"/>
  <c r="F53"/>
  <c r="I53" s="1"/>
  <c r="I54"/>
  <c r="F91"/>
  <c r="I92"/>
  <c r="F660"/>
  <c r="I661"/>
  <c r="F63"/>
  <c r="I64"/>
  <c r="F82"/>
  <c r="I82" s="1"/>
  <c r="I83"/>
  <c r="F79"/>
  <c r="I80"/>
  <c r="F123"/>
  <c r="I124"/>
  <c r="F13"/>
  <c r="I14"/>
  <c r="F34"/>
  <c r="I34" s="1"/>
  <c r="I35"/>
  <c r="F896"/>
  <c r="I897"/>
  <c r="F211"/>
  <c r="I212"/>
  <c r="F98"/>
  <c r="I99"/>
  <c r="F889"/>
  <c r="I889" s="1"/>
  <c r="I890"/>
  <c r="F706"/>
  <c r="I706" s="1"/>
  <c r="I707"/>
  <c r="F623"/>
  <c r="I623" s="1"/>
  <c r="I624"/>
  <c r="F45"/>
  <c r="I45" s="1"/>
  <c r="I46"/>
  <c r="F113"/>
  <c r="I113" s="1"/>
  <c r="I114"/>
  <c r="F336"/>
  <c r="I337"/>
  <c r="F601"/>
  <c r="I602"/>
  <c r="F892"/>
  <c r="I892" s="1"/>
  <c r="I893"/>
  <c r="F709"/>
  <c r="I709" s="1"/>
  <c r="I710"/>
  <c r="F128"/>
  <c r="I129"/>
  <c r="F245"/>
  <c r="I246"/>
  <c r="F778"/>
  <c r="I778" s="1"/>
  <c r="I779"/>
  <c r="F332"/>
  <c r="I333"/>
  <c r="F703"/>
  <c r="I704"/>
  <c r="F351"/>
  <c r="I352"/>
  <c r="F902"/>
  <c r="I903"/>
  <c r="F716"/>
  <c r="I716" s="1"/>
  <c r="I717"/>
  <c r="F274"/>
  <c r="I274" s="1"/>
  <c r="I275"/>
  <c r="F402"/>
  <c r="I403"/>
  <c r="F226"/>
  <c r="I227"/>
  <c r="F324"/>
  <c r="I325"/>
  <c r="F492"/>
  <c r="I492" s="1"/>
  <c r="I493"/>
  <c r="F754"/>
  <c r="I754" s="1"/>
  <c r="F277"/>
  <c r="F723"/>
  <c r="F771"/>
  <c r="I771" s="1"/>
  <c r="G373" i="38"/>
  <c r="J373" s="1"/>
  <c r="I211"/>
  <c r="I723"/>
  <c r="J670"/>
  <c r="G505"/>
  <c r="J505" s="1"/>
  <c r="G997"/>
  <c r="J997" s="1"/>
  <c r="H377" i="4"/>
  <c r="H376" s="1"/>
  <c r="H875"/>
  <c r="H874" s="1"/>
  <c r="H689"/>
  <c r="H688" s="1"/>
  <c r="H806"/>
  <c r="H557"/>
  <c r="H556" s="1"/>
  <c r="H555" s="1"/>
  <c r="F208"/>
  <c r="I209"/>
  <c r="F106"/>
  <c r="I106" s="1"/>
  <c r="I107"/>
  <c r="F642"/>
  <c r="I643"/>
  <c r="F751"/>
  <c r="I751" s="1"/>
  <c r="I752"/>
  <c r="F495"/>
  <c r="I495" s="1"/>
  <c r="I496"/>
  <c r="F489"/>
  <c r="I490"/>
  <c r="F119"/>
  <c r="I119" s="1"/>
  <c r="I120"/>
  <c r="F317"/>
  <c r="I318"/>
  <c r="F822"/>
  <c r="I823"/>
  <c r="F405"/>
  <c r="I405" s="1"/>
  <c r="I406"/>
  <c r="F320"/>
  <c r="I320" s="1"/>
  <c r="I321"/>
  <c r="F651"/>
  <c r="I651" s="1"/>
  <c r="I652"/>
  <c r="F327"/>
  <c r="I327" s="1"/>
  <c r="I328"/>
  <c r="F214"/>
  <c r="I214" s="1"/>
  <c r="I215"/>
  <c r="F719"/>
  <c r="I719" s="1"/>
  <c r="I720"/>
  <c r="F845"/>
  <c r="I846"/>
  <c r="F57"/>
  <c r="I57" s="1"/>
  <c r="I58"/>
  <c r="F133"/>
  <c r="I133" s="1"/>
  <c r="I134"/>
  <c r="F538"/>
  <c r="I539"/>
  <c r="F887"/>
  <c r="I888"/>
  <c r="F787"/>
  <c r="I788"/>
  <c r="F49"/>
  <c r="I50"/>
  <c r="F88"/>
  <c r="I89"/>
  <c r="F32"/>
  <c r="I33"/>
  <c r="H139"/>
  <c r="H138" s="1"/>
  <c r="F295"/>
  <c r="I296"/>
  <c r="F292"/>
  <c r="I293"/>
  <c r="F416"/>
  <c r="I417"/>
  <c r="F551"/>
  <c r="I551" s="1"/>
  <c r="I552"/>
  <c r="F444"/>
  <c r="I445"/>
  <c r="F837"/>
  <c r="I838"/>
  <c r="F511"/>
  <c r="I512"/>
  <c r="F619"/>
  <c r="I620"/>
  <c r="F152"/>
  <c r="I153"/>
  <c r="F314"/>
  <c r="I315"/>
  <c r="F517"/>
  <c r="I518"/>
  <c r="F456"/>
  <c r="I457"/>
  <c r="F812"/>
  <c r="I812" s="1"/>
  <c r="I813"/>
  <c r="F864"/>
  <c r="I865"/>
  <c r="F149"/>
  <c r="I150"/>
  <c r="F345"/>
  <c r="I346"/>
  <c r="F686"/>
  <c r="I687"/>
  <c r="F883"/>
  <c r="I884"/>
  <c r="F466"/>
  <c r="I467"/>
  <c r="F141"/>
  <c r="I142"/>
  <c r="F867"/>
  <c r="I868"/>
  <c r="F379"/>
  <c r="I380"/>
  <c r="F309"/>
  <c r="I310"/>
  <c r="F399"/>
  <c r="I400"/>
  <c r="F528"/>
  <c r="I529"/>
  <c r="F735"/>
  <c r="I735" s="1"/>
  <c r="I736"/>
  <c r="F388"/>
  <c r="I389"/>
  <c r="F795"/>
  <c r="I795" s="1"/>
  <c r="I796"/>
  <c r="F184"/>
  <c r="I185"/>
  <c r="F697"/>
  <c r="I698"/>
  <c r="F503"/>
  <c r="I504"/>
  <c r="F156"/>
  <c r="I157"/>
  <c r="F258"/>
  <c r="I259"/>
  <c r="F506"/>
  <c r="I507"/>
  <c r="F682"/>
  <c r="I683"/>
  <c r="F436"/>
  <c r="I437"/>
  <c r="F571"/>
  <c r="I572"/>
  <c r="F553"/>
  <c r="I553" s="1"/>
  <c r="I554"/>
  <c r="F534"/>
  <c r="I535"/>
  <c r="F531"/>
  <c r="I532"/>
  <c r="F580"/>
  <c r="I581"/>
  <c r="F371"/>
  <c r="I372"/>
  <c r="F819"/>
  <c r="I820"/>
  <c r="F385"/>
  <c r="I386"/>
  <c r="F558"/>
  <c r="I558" s="1"/>
  <c r="I559"/>
  <c r="F167"/>
  <c r="I168"/>
  <c r="F480"/>
  <c r="I481"/>
  <c r="F365"/>
  <c r="I366"/>
  <c r="F747"/>
  <c r="I748"/>
  <c r="F348"/>
  <c r="I349"/>
  <c r="F671"/>
  <c r="I672"/>
  <c r="F433"/>
  <c r="I434"/>
  <c r="F798"/>
  <c r="I799"/>
  <c r="F872"/>
  <c r="I873"/>
  <c r="F520"/>
  <c r="I521"/>
  <c r="F449"/>
  <c r="I449" s="1"/>
  <c r="I450"/>
  <c r="H532"/>
  <c r="H531" s="1"/>
  <c r="H530" s="1"/>
  <c r="H526" s="1"/>
  <c r="H525" s="1"/>
  <c r="H793"/>
  <c r="H792" s="1"/>
  <c r="H147"/>
  <c r="H146" s="1"/>
  <c r="H305"/>
  <c r="H304" s="1"/>
  <c r="F27" i="46" s="1"/>
  <c r="H442" i="4"/>
  <c r="H441" s="1"/>
  <c r="H811"/>
  <c r="H566"/>
  <c r="H565" s="1"/>
  <c r="F287"/>
  <c r="I288"/>
  <c r="F584"/>
  <c r="I585"/>
  <c r="F587"/>
  <c r="I588"/>
  <c r="F563"/>
  <c r="I564"/>
  <c r="F164"/>
  <c r="I165"/>
  <c r="F855"/>
  <c r="I856"/>
  <c r="F237"/>
  <c r="I238"/>
  <c r="F593"/>
  <c r="I594"/>
  <c r="F858"/>
  <c r="I859"/>
  <c r="F678"/>
  <c r="I679"/>
  <c r="F439"/>
  <c r="I440"/>
  <c r="F737"/>
  <c r="I737" s="1"/>
  <c r="I738"/>
  <c r="F477"/>
  <c r="I478"/>
  <c r="F840"/>
  <c r="I841"/>
  <c r="F598"/>
  <c r="I599"/>
  <c r="F613"/>
  <c r="I613" s="1"/>
  <c r="I614"/>
  <c r="F691"/>
  <c r="I692"/>
  <c r="F199"/>
  <c r="I200"/>
  <c r="F803"/>
  <c r="I804"/>
  <c r="F880"/>
  <c r="I881"/>
  <c r="F694"/>
  <c r="I695"/>
  <c r="F814"/>
  <c r="I814" s="1"/>
  <c r="I815"/>
  <c r="F615"/>
  <c r="I615" s="1"/>
  <c r="I616"/>
  <c r="F700"/>
  <c r="I701"/>
  <c r="F382"/>
  <c r="I383"/>
  <c r="F809"/>
  <c r="I809" s="1"/>
  <c r="I810"/>
  <c r="F424"/>
  <c r="I425"/>
  <c r="F462"/>
  <c r="I463"/>
  <c r="F447"/>
  <c r="I448"/>
  <c r="F560"/>
  <c r="I560" s="1"/>
  <c r="I561"/>
  <c r="F453"/>
  <c r="I454"/>
  <c r="F242"/>
  <c r="I243"/>
  <c r="F179"/>
  <c r="I180"/>
  <c r="F568"/>
  <c r="I569"/>
  <c r="F368"/>
  <c r="I369"/>
  <c r="F575"/>
  <c r="I576"/>
  <c r="F374"/>
  <c r="I375"/>
  <c r="F877"/>
  <c r="I878"/>
  <c r="F394"/>
  <c r="I395"/>
  <c r="F832"/>
  <c r="I832" s="1"/>
  <c r="I833"/>
  <c r="F427"/>
  <c r="I428"/>
  <c r="F144"/>
  <c r="I145"/>
  <c r="F590"/>
  <c r="I591"/>
  <c r="F523"/>
  <c r="I524"/>
  <c r="F430"/>
  <c r="I431"/>
  <c r="F253"/>
  <c r="I254"/>
  <c r="F674"/>
  <c r="I675"/>
  <c r="F483"/>
  <c r="I484"/>
  <c r="F486"/>
  <c r="I487"/>
  <c r="F807"/>
  <c r="I807" s="1"/>
  <c r="I808"/>
  <c r="F261"/>
  <c r="I261" s="1"/>
  <c r="I262"/>
  <c r="F419"/>
  <c r="I420"/>
  <c r="H230"/>
  <c r="H229"/>
  <c r="F742"/>
  <c r="I743"/>
  <c r="F459"/>
  <c r="I460"/>
  <c r="H195"/>
  <c r="H194"/>
  <c r="H853"/>
  <c r="H852" s="1"/>
  <c r="H290"/>
  <c r="H289" s="1"/>
  <c r="H283" s="1"/>
  <c r="H282" s="1"/>
  <c r="F26" i="46" s="1"/>
  <c r="H422" i="4"/>
  <c r="H421" s="1"/>
  <c r="H550"/>
  <c r="H549" s="1"/>
  <c r="H548" s="1"/>
  <c r="H363"/>
  <c r="H362" s="1"/>
  <c r="H343"/>
  <c r="H342" s="1"/>
  <c r="H669"/>
  <c r="H668" s="1"/>
  <c r="H734"/>
  <c r="H733" s="1"/>
  <c r="H732" s="1"/>
  <c r="H512"/>
  <c r="H511" s="1"/>
  <c r="H510" s="1"/>
  <c r="H509" s="1"/>
  <c r="H508" s="1"/>
  <c r="I522" i="38"/>
  <c r="G652"/>
  <c r="I652" s="1"/>
  <c r="J636"/>
  <c r="I849"/>
  <c r="I555"/>
  <c r="J563"/>
  <c r="G95"/>
  <c r="J95" s="1"/>
  <c r="J849"/>
  <c r="I572"/>
  <c r="I560"/>
  <c r="J444"/>
  <c r="I945"/>
  <c r="I711"/>
  <c r="J855"/>
  <c r="G524"/>
  <c r="I524" s="1"/>
  <c r="I140"/>
  <c r="I193"/>
  <c r="J907"/>
  <c r="J912"/>
  <c r="I394"/>
  <c r="I720"/>
  <c r="J368"/>
  <c r="I111"/>
  <c r="G443"/>
  <c r="G674"/>
  <c r="J674" s="1"/>
  <c r="G139"/>
  <c r="J139" s="1"/>
  <c r="I545"/>
  <c r="G367"/>
  <c r="I367" s="1"/>
  <c r="G393"/>
  <c r="J393" s="1"/>
  <c r="G854"/>
  <c r="I854" s="1"/>
  <c r="I525"/>
  <c r="G719"/>
  <c r="I719" s="1"/>
  <c r="G110"/>
  <c r="J110" s="1"/>
  <c r="I679"/>
  <c r="J522"/>
  <c r="G465"/>
  <c r="G464" s="1"/>
  <c r="G359"/>
  <c r="I359" s="1"/>
  <c r="I715"/>
  <c r="J555"/>
  <c r="G370"/>
  <c r="J370" s="1"/>
  <c r="J647"/>
  <c r="J174"/>
  <c r="F515" i="4"/>
  <c r="G502" i="38"/>
  <c r="G571"/>
  <c r="J571" s="1"/>
  <c r="J715"/>
  <c r="G387"/>
  <c r="J387" s="1"/>
  <c r="I563"/>
  <c r="I503"/>
  <c r="I675"/>
  <c r="J388"/>
  <c r="G94" i="47"/>
  <c r="G93" s="1"/>
  <c r="G49"/>
  <c r="J49" s="1"/>
  <c r="J650" i="38"/>
  <c r="G635"/>
  <c r="J635" s="1"/>
  <c r="J466"/>
  <c r="I416"/>
  <c r="I182"/>
  <c r="J96"/>
  <c r="G426"/>
  <c r="J426" s="1"/>
  <c r="G638"/>
  <c r="I638" s="1"/>
  <c r="I371"/>
  <c r="I653"/>
  <c r="G559"/>
  <c r="I559" s="1"/>
  <c r="G646"/>
  <c r="G649"/>
  <c r="I649" s="1"/>
  <c r="J360"/>
  <c r="G213"/>
  <c r="J213" s="1"/>
  <c r="I436"/>
  <c r="G678"/>
  <c r="I678" s="1"/>
  <c r="J427"/>
  <c r="J726"/>
  <c r="J639"/>
  <c r="I475"/>
  <c r="H475" i="4" s="1"/>
  <c r="H474" s="1"/>
  <c r="H473" s="1"/>
  <c r="J475" i="38"/>
  <c r="J894"/>
  <c r="I894"/>
  <c r="H224" i="4" s="1"/>
  <c r="H223" s="1"/>
  <c r="H222" s="1"/>
  <c r="H221" s="1"/>
  <c r="H220" s="1"/>
  <c r="H219" s="1"/>
  <c r="H218" s="1"/>
  <c r="F21" i="46" s="1"/>
  <c r="F264" i="4"/>
  <c r="I146" i="38"/>
  <c r="H264" i="4" s="1"/>
  <c r="H263" s="1"/>
  <c r="H260" s="1"/>
  <c r="H256" s="1"/>
  <c r="H255" s="1"/>
  <c r="H249" s="1"/>
  <c r="H248" s="1"/>
  <c r="F23" i="46" s="1"/>
  <c r="J146" i="38"/>
  <c r="G471"/>
  <c r="I471" s="1"/>
  <c r="I472"/>
  <c r="H472" i="4" s="1"/>
  <c r="H471" s="1"/>
  <c r="H470" s="1"/>
  <c r="H469" s="1"/>
  <c r="H468" s="1"/>
  <c r="J472" i="38"/>
  <c r="I79"/>
  <c r="H162" i="4" s="1"/>
  <c r="H161" s="1"/>
  <c r="H160" s="1"/>
  <c r="H159" s="1"/>
  <c r="H158" s="1"/>
  <c r="J79" i="38"/>
  <c r="G924"/>
  <c r="J924" s="1"/>
  <c r="I925"/>
  <c r="J925"/>
  <c r="G579"/>
  <c r="G578" s="1"/>
  <c r="I580"/>
  <c r="H610" i="4" s="1"/>
  <c r="H609" s="1"/>
  <c r="H608" s="1"/>
  <c r="H607" s="1"/>
  <c r="H606" s="1"/>
  <c r="J580" i="38"/>
  <c r="F831" i="4"/>
  <c r="I205" i="38"/>
  <c r="H831" i="4" s="1"/>
  <c r="H830" s="1"/>
  <c r="H829" s="1"/>
  <c r="H828" s="1"/>
  <c r="H827" s="1"/>
  <c r="J205" i="38"/>
  <c r="F173" i="4"/>
  <c r="I90" i="38"/>
  <c r="H173" i="4" s="1"/>
  <c r="H172" s="1"/>
  <c r="H171" s="1"/>
  <c r="H170" s="1"/>
  <c r="J90" i="38"/>
  <c r="G688"/>
  <c r="G687" s="1"/>
  <c r="I689"/>
  <c r="H594" i="4" s="1"/>
  <c r="H593" s="1"/>
  <c r="H592" s="1"/>
  <c r="H582" s="1"/>
  <c r="H577" s="1"/>
  <c r="J689" i="38"/>
  <c r="G489" i="47"/>
  <c r="I489" s="1"/>
  <c r="J945" i="38"/>
  <c r="G710"/>
  <c r="I710" s="1"/>
  <c r="J416"/>
  <c r="J182"/>
  <c r="G906"/>
  <c r="G902" s="1"/>
  <c r="J436"/>
  <c r="G725"/>
  <c r="J725" s="1"/>
  <c r="I174"/>
  <c r="G911"/>
  <c r="G910" s="1"/>
  <c r="J545"/>
  <c r="I214"/>
  <c r="H841" i="4" s="1"/>
  <c r="H840" s="1"/>
  <c r="H839" s="1"/>
  <c r="H835" s="1"/>
  <c r="H834" s="1"/>
  <c r="F177"/>
  <c r="J94" i="38"/>
  <c r="I94"/>
  <c r="H177" i="4" s="1"/>
  <c r="H176" s="1"/>
  <c r="H175" s="1"/>
  <c r="H174" s="1"/>
  <c r="G455" i="38"/>
  <c r="I456"/>
  <c r="J456"/>
  <c r="J766"/>
  <c r="I766"/>
  <c r="I764"/>
  <c r="J764"/>
  <c r="G985"/>
  <c r="I986"/>
  <c r="J986"/>
  <c r="G324"/>
  <c r="J325"/>
  <c r="I325"/>
  <c r="G262"/>
  <c r="I263"/>
  <c r="J263"/>
  <c r="J757"/>
  <c r="I757"/>
  <c r="I243"/>
  <c r="J243"/>
  <c r="I722"/>
  <c r="J722"/>
  <c r="J45"/>
  <c r="I45"/>
  <c r="J554"/>
  <c r="I554"/>
  <c r="J173"/>
  <c r="I173"/>
  <c r="G690"/>
  <c r="I691"/>
  <c r="J691"/>
  <c r="I656"/>
  <c r="J656"/>
  <c r="I735"/>
  <c r="J735"/>
  <c r="G543"/>
  <c r="J544"/>
  <c r="I544"/>
  <c r="G364"/>
  <c r="J365"/>
  <c r="I365"/>
  <c r="G612"/>
  <c r="G604" s="1"/>
  <c r="I613"/>
  <c r="J613"/>
  <c r="G423"/>
  <c r="J424"/>
  <c r="I424"/>
  <c r="G513"/>
  <c r="J514"/>
  <c r="I514"/>
  <c r="G915"/>
  <c r="I916"/>
  <c r="J916"/>
  <c r="I605"/>
  <c r="J605"/>
  <c r="G818"/>
  <c r="J819"/>
  <c r="I819"/>
  <c r="G327"/>
  <c r="J328"/>
  <c r="I328"/>
  <c r="G190"/>
  <c r="I191"/>
  <c r="J191"/>
  <c r="G896"/>
  <c r="I897"/>
  <c r="J897"/>
  <c r="I598"/>
  <c r="J598"/>
  <c r="J290"/>
  <c r="I290"/>
  <c r="G1003"/>
  <c r="J1004"/>
  <c r="I1004"/>
  <c r="G195"/>
  <c r="J196"/>
  <c r="I196"/>
  <c r="J745"/>
  <c r="I745"/>
  <c r="G149"/>
  <c r="I150"/>
  <c r="J150"/>
  <c r="I287"/>
  <c r="J287"/>
  <c r="J973"/>
  <c r="I973"/>
  <c r="I601"/>
  <c r="J601"/>
  <c r="I240"/>
  <c r="J240"/>
  <c r="J864"/>
  <c r="I864"/>
  <c r="G641"/>
  <c r="I642"/>
  <c r="J642"/>
  <c r="G742"/>
  <c r="I743"/>
  <c r="J743"/>
  <c r="G699"/>
  <c r="J700"/>
  <c r="I700"/>
  <c r="G838"/>
  <c r="I839"/>
  <c r="J839"/>
  <c r="G531"/>
  <c r="J532"/>
  <c r="I532"/>
  <c r="I188"/>
  <c r="J188"/>
  <c r="G39"/>
  <c r="I42"/>
  <c r="J42"/>
  <c r="G461"/>
  <c r="I462"/>
  <c r="J462"/>
  <c r="G775"/>
  <c r="I776"/>
  <c r="J776"/>
  <c r="J624"/>
  <c r="I624"/>
  <c r="G83"/>
  <c r="I84"/>
  <c r="J84"/>
  <c r="G966"/>
  <c r="I967"/>
  <c r="J967"/>
  <c r="G56"/>
  <c r="I57"/>
  <c r="J57"/>
  <c r="G582"/>
  <c r="J583"/>
  <c r="I583"/>
  <c r="G868"/>
  <c r="I869"/>
  <c r="J869"/>
  <c r="G283"/>
  <c r="I284"/>
  <c r="J284"/>
  <c r="G702"/>
  <c r="J703"/>
  <c r="I703"/>
  <c r="J161"/>
  <c r="I161"/>
  <c r="G706"/>
  <c r="I707"/>
  <c r="J707"/>
  <c r="G482"/>
  <c r="I483"/>
  <c r="J483"/>
  <c r="G218"/>
  <c r="I221"/>
  <c r="J221"/>
  <c r="I317"/>
  <c r="J317"/>
  <c r="G48"/>
  <c r="J49"/>
  <c r="I49"/>
  <c r="J797"/>
  <c r="I797"/>
  <c r="G432"/>
  <c r="I433"/>
  <c r="J433"/>
  <c r="G800"/>
  <c r="J801"/>
  <c r="I801"/>
  <c r="I521"/>
  <c r="J521"/>
  <c r="G950"/>
  <c r="J951"/>
  <c r="I951"/>
  <c r="F542" i="4"/>
  <c r="J534" i="38"/>
  <c r="I534"/>
  <c r="H542" i="4" s="1"/>
  <c r="H541" s="1"/>
  <c r="H540" s="1"/>
  <c r="I980" i="38"/>
  <c r="J980"/>
  <c r="J228"/>
  <c r="I228"/>
  <c r="I495"/>
  <c r="J495"/>
  <c r="J848"/>
  <c r="I848"/>
  <c r="I615"/>
  <c r="J615"/>
  <c r="G668"/>
  <c r="J669"/>
  <c r="I669"/>
  <c r="I659"/>
  <c r="J659"/>
  <c r="F545" i="4"/>
  <c r="I537" i="38"/>
  <c r="H545" i="4" s="1"/>
  <c r="H544" s="1"/>
  <c r="H543" s="1"/>
  <c r="J537" i="38"/>
  <c r="J274"/>
  <c r="I274"/>
  <c r="J562"/>
  <c r="I562"/>
  <c r="I293"/>
  <c r="J293"/>
  <c r="I780"/>
  <c r="J780"/>
  <c r="G655"/>
  <c r="G857"/>
  <c r="G381"/>
  <c r="J382"/>
  <c r="I382"/>
  <c r="G829"/>
  <c r="I830"/>
  <c r="J830"/>
  <c r="G485"/>
  <c r="J486"/>
  <c r="I486"/>
  <c r="I159"/>
  <c r="J159"/>
  <c r="G510"/>
  <c r="J511"/>
  <c r="I511"/>
  <c r="G418"/>
  <c r="J419"/>
  <c r="I419"/>
  <c r="G449"/>
  <c r="I450"/>
  <c r="J450"/>
  <c r="J54"/>
  <c r="I54"/>
  <c r="G166"/>
  <c r="J167"/>
  <c r="I167"/>
  <c r="J186"/>
  <c r="I186"/>
  <c r="G728"/>
  <c r="J729"/>
  <c r="I729"/>
  <c r="G378"/>
  <c r="I379"/>
  <c r="J379"/>
  <c r="G843"/>
  <c r="J844"/>
  <c r="I844"/>
  <c r="G875"/>
  <c r="I876"/>
  <c r="J876"/>
  <c r="I234"/>
  <c r="J234"/>
  <c r="G332"/>
  <c r="J336"/>
  <c r="I336"/>
  <c r="G770"/>
  <c r="I771"/>
  <c r="J771"/>
  <c r="G408"/>
  <c r="J409"/>
  <c r="I409"/>
  <c r="J895"/>
  <c r="I895"/>
  <c r="G988"/>
  <c r="I989"/>
  <c r="J989"/>
  <c r="I944"/>
  <c r="J944"/>
  <c r="I415"/>
  <c r="J415"/>
  <c r="J662"/>
  <c r="I662"/>
  <c r="G180"/>
  <c r="I181"/>
  <c r="J181"/>
  <c r="I435"/>
  <c r="J435"/>
  <c r="G349"/>
  <c r="I350"/>
  <c r="J350"/>
  <c r="J277"/>
  <c r="I277"/>
  <c r="J126"/>
  <c r="I126"/>
  <c r="J25"/>
  <c r="I25"/>
  <c r="I492"/>
  <c r="J492"/>
  <c r="I791"/>
  <c r="J791"/>
  <c r="J28"/>
  <c r="I28"/>
  <c r="G253"/>
  <c r="I254"/>
  <c r="J254"/>
  <c r="I296"/>
  <c r="J296"/>
  <c r="G134"/>
  <c r="I135"/>
  <c r="J135"/>
  <c r="G313"/>
  <c r="J314"/>
  <c r="I314"/>
  <c r="G626"/>
  <c r="J627"/>
  <c r="I627"/>
  <c r="G939"/>
  <c r="I940"/>
  <c r="J940"/>
  <c r="G586"/>
  <c r="I593"/>
  <c r="J593"/>
  <c r="G684"/>
  <c r="J685"/>
  <c r="I685"/>
  <c r="I269"/>
  <c r="J269"/>
  <c r="G176"/>
  <c r="I177"/>
  <c r="J177"/>
  <c r="J622"/>
  <c r="I622"/>
  <c r="G732"/>
  <c r="I733"/>
  <c r="J733"/>
  <c r="G308"/>
  <c r="I309"/>
  <c r="J309"/>
  <c r="G65"/>
  <c r="I66"/>
  <c r="J66"/>
  <c r="I123"/>
  <c r="J123"/>
  <c r="I738"/>
  <c r="J738"/>
  <c r="I927"/>
  <c r="J927"/>
  <c r="G13"/>
  <c r="J14"/>
  <c r="I14"/>
  <c r="G713"/>
  <c r="I714"/>
  <c r="J714"/>
  <c r="I587"/>
  <c r="J587"/>
  <c r="G384"/>
  <c r="I385"/>
  <c r="J385"/>
  <c r="G452"/>
  <c r="I453"/>
  <c r="J453"/>
  <c r="G1000"/>
  <c r="I1001"/>
  <c r="J1001"/>
  <c r="G479"/>
  <c r="I480"/>
  <c r="J480"/>
  <c r="G68"/>
  <c r="J69"/>
  <c r="I69"/>
  <c r="J143"/>
  <c r="I143"/>
  <c r="G438"/>
  <c r="I439"/>
  <c r="J439"/>
  <c r="G266"/>
  <c r="G265" s="1"/>
  <c r="I267"/>
  <c r="J267"/>
  <c r="G429"/>
  <c r="J430"/>
  <c r="I430"/>
  <c r="G402"/>
  <c r="J403"/>
  <c r="I403"/>
  <c r="G489"/>
  <c r="J490"/>
  <c r="I490"/>
  <c r="G446"/>
  <c r="J447"/>
  <c r="I447"/>
  <c r="G807"/>
  <c r="J808"/>
  <c r="I808"/>
  <c r="G476"/>
  <c r="I477"/>
  <c r="J477"/>
  <c r="G458"/>
  <c r="I459"/>
  <c r="J459"/>
  <c r="G516"/>
  <c r="J517"/>
  <c r="I517"/>
  <c r="G527"/>
  <c r="I528"/>
  <c r="J528"/>
  <c r="G80"/>
  <c r="J81"/>
  <c r="I81"/>
  <c r="G549"/>
  <c r="J550"/>
  <c r="I550"/>
  <c r="G398"/>
  <c r="I399"/>
  <c r="J399"/>
  <c r="I795"/>
  <c r="J795"/>
  <c r="J786"/>
  <c r="I786"/>
  <c r="G19"/>
  <c r="I20"/>
  <c r="J20"/>
  <c r="G961"/>
  <c r="I962"/>
  <c r="J962"/>
  <c r="I117"/>
  <c r="J117"/>
  <c r="J753"/>
  <c r="I753"/>
  <c r="G930"/>
  <c r="I933"/>
  <c r="J933"/>
  <c r="G248"/>
  <c r="J249"/>
  <c r="I249"/>
  <c r="G405"/>
  <c r="J406"/>
  <c r="I406"/>
  <c r="G977"/>
  <c r="I978"/>
  <c r="J978"/>
  <c r="G970"/>
  <c r="J971"/>
  <c r="I971"/>
  <c r="G305"/>
  <c r="I306"/>
  <c r="J306"/>
  <c r="G681"/>
  <c r="I682"/>
  <c r="J682"/>
  <c r="J748"/>
  <c r="I748"/>
  <c r="I333"/>
  <c r="J333"/>
  <c r="J858"/>
  <c r="I858"/>
  <c r="G71"/>
  <c r="J72"/>
  <c r="I72"/>
  <c r="G100"/>
  <c r="J101"/>
  <c r="I101"/>
  <c r="J119"/>
  <c r="I119"/>
  <c r="J810"/>
  <c r="I810"/>
  <c r="I861"/>
  <c r="J861"/>
  <c r="G343"/>
  <c r="J344"/>
  <c r="I344"/>
  <c r="G883"/>
  <c r="I884"/>
  <c r="J884"/>
  <c r="G286"/>
  <c r="G122"/>
  <c r="G142" i="47"/>
  <c r="I143"/>
  <c r="J143"/>
  <c r="G191"/>
  <c r="J192"/>
  <c r="I192"/>
  <c r="G422"/>
  <c r="I423"/>
  <c r="J423"/>
  <c r="G527"/>
  <c r="J528"/>
  <c r="I528"/>
  <c r="G617"/>
  <c r="I618"/>
  <c r="J618"/>
  <c r="J538"/>
  <c r="I538"/>
  <c r="I490"/>
  <c r="J490"/>
  <c r="G545"/>
  <c r="I546"/>
  <c r="J546"/>
  <c r="G353"/>
  <c r="J354"/>
  <c r="I354"/>
  <c r="G265"/>
  <c r="I266"/>
  <c r="J266"/>
  <c r="G128"/>
  <c r="I129"/>
  <c r="J129"/>
  <c r="G678"/>
  <c r="J679"/>
  <c r="I679"/>
  <c r="G166"/>
  <c r="J167"/>
  <c r="I167"/>
  <c r="G395"/>
  <c r="J396"/>
  <c r="I396"/>
  <c r="G182"/>
  <c r="I183"/>
  <c r="J183"/>
  <c r="G504"/>
  <c r="I505"/>
  <c r="J505"/>
  <c r="G572"/>
  <c r="I573"/>
  <c r="J573"/>
  <c r="G280"/>
  <c r="I281"/>
  <c r="J281"/>
  <c r="G671"/>
  <c r="J672"/>
  <c r="I672"/>
  <c r="G78"/>
  <c r="I79"/>
  <c r="J79"/>
  <c r="G650"/>
  <c r="I651"/>
  <c r="J651"/>
  <c r="G409"/>
  <c r="I410"/>
  <c r="J410"/>
  <c r="G315"/>
  <c r="I316"/>
  <c r="J316"/>
  <c r="G218"/>
  <c r="J219"/>
  <c r="I219"/>
  <c r="G35"/>
  <c r="I36"/>
  <c r="J36"/>
  <c r="G566"/>
  <c r="I567"/>
  <c r="J567"/>
  <c r="G275"/>
  <c r="J276"/>
  <c r="I276"/>
  <c r="I33"/>
  <c r="J33"/>
  <c r="G203"/>
  <c r="I204"/>
  <c r="J204"/>
  <c r="I512"/>
  <c r="J512"/>
  <c r="G261"/>
  <c r="I262"/>
  <c r="J262"/>
  <c r="I109"/>
  <c r="J109"/>
  <c r="G587"/>
  <c r="I588"/>
  <c r="J588"/>
  <c r="G307"/>
  <c r="I308"/>
  <c r="J308"/>
  <c r="G84"/>
  <c r="I85"/>
  <c r="J85"/>
  <c r="G690"/>
  <c r="J691"/>
  <c r="I691"/>
  <c r="G658"/>
  <c r="J659"/>
  <c r="I659"/>
  <c r="G13"/>
  <c r="J14"/>
  <c r="I14"/>
  <c r="G697"/>
  <c r="I698"/>
  <c r="J698"/>
  <c r="G444"/>
  <c r="J445"/>
  <c r="I445"/>
  <c r="G329"/>
  <c r="J330"/>
  <c r="I330"/>
  <c r="G230"/>
  <c r="J231"/>
  <c r="I231"/>
  <c r="I53"/>
  <c r="J53"/>
  <c r="J95"/>
  <c r="I95"/>
  <c r="G664"/>
  <c r="J665"/>
  <c r="I665"/>
  <c r="G344"/>
  <c r="I345"/>
  <c r="J345"/>
  <c r="G114"/>
  <c r="J115"/>
  <c r="I115"/>
  <c r="G604"/>
  <c r="I605"/>
  <c r="J605"/>
  <c r="G440"/>
  <c r="I441"/>
  <c r="J441"/>
  <c r="G151"/>
  <c r="I152"/>
  <c r="J152"/>
  <c r="G517"/>
  <c r="J518"/>
  <c r="I518"/>
  <c r="G594"/>
  <c r="J595"/>
  <c r="I595"/>
  <c r="G380"/>
  <c r="I381"/>
  <c r="J381"/>
  <c r="G290"/>
  <c r="I290" s="1"/>
  <c r="I291"/>
  <c r="J291"/>
  <c r="G174"/>
  <c r="I175"/>
  <c r="J175"/>
  <c r="J39"/>
  <c r="I39"/>
  <c r="G560"/>
  <c r="J561"/>
  <c r="I561"/>
  <c r="G436"/>
  <c r="J437"/>
  <c r="I437"/>
  <c r="G224"/>
  <c r="I225"/>
  <c r="J225"/>
  <c r="G59"/>
  <c r="I60"/>
  <c r="J60"/>
  <c r="G425"/>
  <c r="I426"/>
  <c r="J426"/>
  <c r="G399"/>
  <c r="J400"/>
  <c r="I400"/>
  <c r="G196"/>
  <c r="J197"/>
  <c r="I197"/>
  <c r="G105"/>
  <c r="G637"/>
  <c r="J638"/>
  <c r="I638"/>
  <c r="G746"/>
  <c r="J747"/>
  <c r="I747"/>
  <c r="G483"/>
  <c r="J484"/>
  <c r="I484"/>
  <c r="G249"/>
  <c r="I250"/>
  <c r="J250"/>
  <c r="G533"/>
  <c r="J534"/>
  <c r="I534"/>
  <c r="G21"/>
  <c r="I22"/>
  <c r="J22"/>
  <c r="I98"/>
  <c r="J98"/>
  <c r="G628"/>
  <c r="J629"/>
  <c r="I629"/>
  <c r="G405"/>
  <c r="I406"/>
  <c r="J406"/>
  <c r="G310"/>
  <c r="I311"/>
  <c r="J311"/>
  <c r="G211"/>
  <c r="I212"/>
  <c r="J212"/>
  <c r="G29"/>
  <c r="I30"/>
  <c r="J30"/>
  <c r="I467"/>
  <c r="J467"/>
  <c r="G73"/>
  <c r="I74"/>
  <c r="J74"/>
  <c r="G610"/>
  <c r="J611"/>
  <c r="I611"/>
  <c r="G295"/>
  <c r="J296"/>
  <c r="I296"/>
  <c r="J493"/>
  <c r="I493"/>
  <c r="G368"/>
  <c r="J369"/>
  <c r="I369"/>
  <c r="I50"/>
  <c r="J50"/>
  <c r="G739"/>
  <c r="I740"/>
  <c r="J740"/>
  <c r="I539"/>
  <c r="J539"/>
  <c r="G552"/>
  <c r="J553"/>
  <c r="I553"/>
  <c r="G358"/>
  <c r="I359"/>
  <c r="J359"/>
  <c r="G269"/>
  <c r="I270"/>
  <c r="J270"/>
  <c r="G135"/>
  <c r="I136"/>
  <c r="J136"/>
  <c r="I251"/>
  <c r="J251"/>
  <c r="J254"/>
  <c r="I254"/>
  <c r="G364"/>
  <c r="I365"/>
  <c r="J365"/>
  <c r="I145"/>
  <c r="J145"/>
  <c r="G415"/>
  <c r="J416"/>
  <c r="I416"/>
  <c r="G703"/>
  <c r="I704"/>
  <c r="J704"/>
  <c r="G348"/>
  <c r="J349"/>
  <c r="I349"/>
  <c r="G122"/>
  <c r="J123"/>
  <c r="I123"/>
  <c r="G718"/>
  <c r="J719"/>
  <c r="I719"/>
  <c r="G480"/>
  <c r="G479" s="1"/>
  <c r="I481"/>
  <c r="J481"/>
  <c r="G236"/>
  <c r="I237"/>
  <c r="J237"/>
  <c r="G724"/>
  <c r="J725"/>
  <c r="I725"/>
  <c r="G430"/>
  <c r="I431"/>
  <c r="J431"/>
  <c r="G472"/>
  <c r="J473"/>
  <c r="I473"/>
  <c r="G388"/>
  <c r="I389"/>
  <c r="J389"/>
  <c r="G580"/>
  <c r="I581"/>
  <c r="J581"/>
  <c r="G374"/>
  <c r="I375"/>
  <c r="J375"/>
  <c r="G286"/>
  <c r="I287"/>
  <c r="J287"/>
  <c r="G158"/>
  <c r="I159"/>
  <c r="J159"/>
  <c r="G598"/>
  <c r="I599"/>
  <c r="J599"/>
  <c r="G451"/>
  <c r="J452"/>
  <c r="I452"/>
  <c r="G711"/>
  <c r="I712"/>
  <c r="J712"/>
  <c r="G463"/>
  <c r="I464"/>
  <c r="J464"/>
  <c r="G244"/>
  <c r="J245"/>
  <c r="I245"/>
  <c r="G684"/>
  <c r="J685"/>
  <c r="I685"/>
  <c r="G325"/>
  <c r="I326"/>
  <c r="J326"/>
  <c r="G65"/>
  <c r="J66"/>
  <c r="I66"/>
  <c r="I86"/>
  <c r="J86"/>
  <c r="G498"/>
  <c r="I499"/>
  <c r="J499"/>
  <c r="G731"/>
  <c r="J732"/>
  <c r="I732"/>
  <c r="G457"/>
  <c r="J458"/>
  <c r="I458"/>
  <c r="G340"/>
  <c r="J341"/>
  <c r="I341"/>
  <c r="I106"/>
  <c r="J106"/>
  <c r="G753"/>
  <c r="I754"/>
  <c r="J754"/>
  <c r="G321"/>
  <c r="I322"/>
  <c r="J322"/>
  <c r="G41"/>
  <c r="I42"/>
  <c r="J42"/>
  <c r="I89"/>
  <c r="J89"/>
  <c r="G622"/>
  <c r="J623"/>
  <c r="I623"/>
  <c r="G301"/>
  <c r="I302"/>
  <c r="J302"/>
  <c r="G25"/>
  <c r="I26"/>
  <c r="J26"/>
  <c r="G511"/>
  <c r="G537"/>
  <c r="G114" i="38"/>
  <c r="F360" i="4"/>
  <c r="I360" s="1"/>
  <c r="F27"/>
  <c r="I27" s="1"/>
  <c r="F104"/>
  <c r="G227" i="38"/>
  <c r="F472" i="4"/>
  <c r="G752" i="38"/>
  <c r="G204"/>
  <c r="G794"/>
  <c r="G89"/>
  <c r="F610" i="4"/>
  <c r="G145" i="38"/>
  <c r="G93"/>
  <c r="G619"/>
  <c r="D176" i="4"/>
  <c r="G158" i="38"/>
  <c r="G53"/>
  <c r="D172" i="4"/>
  <c r="G391" i="38"/>
  <c r="F392" i="4"/>
  <c r="G185" i="38"/>
  <c r="G763"/>
  <c r="D149" i="4"/>
  <c r="E67" i="38"/>
  <c r="D150" i="4" s="1"/>
  <c r="F475"/>
  <c r="G474" i="38"/>
  <c r="F162" i="4"/>
  <c r="G78" i="38"/>
  <c r="G893"/>
  <c r="F224" i="4"/>
  <c r="E24" i="40" l="1"/>
  <c r="F24"/>
  <c r="L498" i="38"/>
  <c r="N498" s="1"/>
  <c r="I947"/>
  <c r="L873"/>
  <c r="J489" i="47"/>
  <c r="I646" i="38"/>
  <c r="L631"/>
  <c r="J443"/>
  <c r="J9" i="49"/>
  <c r="J11"/>
  <c r="J10" s="1"/>
  <c r="G9"/>
  <c r="F56" i="4"/>
  <c r="I56" s="1"/>
  <c r="J947" i="38"/>
  <c r="I851"/>
  <c r="J210"/>
  <c r="I908" i="4"/>
  <c r="I997" i="38"/>
  <c r="I95"/>
  <c r="I835"/>
  <c r="I566"/>
  <c r="G565"/>
  <c r="J565" s="1"/>
  <c r="F81" i="4"/>
  <c r="I81" s="1"/>
  <c r="F18"/>
  <c r="I18" s="1"/>
  <c r="I505" i="38"/>
  <c r="H851" i="4"/>
  <c r="H850" s="1"/>
  <c r="F44" i="46" s="1"/>
  <c r="F43" s="1"/>
  <c r="I826" i="38"/>
  <c r="I373"/>
  <c r="H805" i="4"/>
  <c r="H800" s="1"/>
  <c r="H791" s="1"/>
  <c r="H790" s="1"/>
  <c r="F41" i="46" s="1"/>
  <c r="G943" i="38"/>
  <c r="G942" s="1"/>
  <c r="H355" i="4"/>
  <c r="F31" i="46" s="1"/>
  <c r="F331" i="4"/>
  <c r="I332"/>
  <c r="F600"/>
  <c r="I600" s="1"/>
  <c r="I601"/>
  <c r="F122"/>
  <c r="I123"/>
  <c r="F655"/>
  <c r="I660"/>
  <c r="F297"/>
  <c r="I297" s="1"/>
  <c r="I298"/>
  <c r="F188"/>
  <c r="I189"/>
  <c r="F31"/>
  <c r="I31" s="1"/>
  <c r="I32"/>
  <c r="I489"/>
  <c r="F488"/>
  <c r="I488" s="1"/>
  <c r="F722"/>
  <c r="I722" s="1"/>
  <c r="I723"/>
  <c r="F225"/>
  <c r="I225" s="1"/>
  <c r="I226"/>
  <c r="F901"/>
  <c r="I902"/>
  <c r="I703"/>
  <c r="F702"/>
  <c r="I702" s="1"/>
  <c r="I128"/>
  <c r="F127"/>
  <c r="I127" s="1"/>
  <c r="F335"/>
  <c r="I335" s="1"/>
  <c r="I336"/>
  <c r="F97"/>
  <c r="I98"/>
  <c r="F895"/>
  <c r="I895" s="1"/>
  <c r="I896"/>
  <c r="F12"/>
  <c r="I13"/>
  <c r="F78"/>
  <c r="I78" s="1"/>
  <c r="I79"/>
  <c r="F62"/>
  <c r="I62" s="1"/>
  <c r="I63"/>
  <c r="F90"/>
  <c r="I90" s="1"/>
  <c r="I91"/>
  <c r="F73"/>
  <c r="I73" s="1"/>
  <c r="I74"/>
  <c r="I713"/>
  <c r="F712"/>
  <c r="I712" s="1"/>
  <c r="F781"/>
  <c r="I782"/>
  <c r="F622"/>
  <c r="H411"/>
  <c r="F32" i="46" s="1"/>
  <c r="H356" i="4"/>
  <c r="H499"/>
  <c r="I324"/>
  <c r="F323"/>
  <c r="I323" s="1"/>
  <c r="I402"/>
  <c r="F401"/>
  <c r="I401" s="1"/>
  <c r="F350"/>
  <c r="I350" s="1"/>
  <c r="I351"/>
  <c r="F244"/>
  <c r="I244" s="1"/>
  <c r="I245"/>
  <c r="I211"/>
  <c r="F210"/>
  <c r="I210" s="1"/>
  <c r="F759"/>
  <c r="I760"/>
  <c r="F541"/>
  <c r="I542"/>
  <c r="F48"/>
  <c r="I49"/>
  <c r="F886"/>
  <c r="I887"/>
  <c r="F844"/>
  <c r="I845"/>
  <c r="I317"/>
  <c r="F316"/>
  <c r="I316" s="1"/>
  <c r="F273"/>
  <c r="I273" s="1"/>
  <c r="I277"/>
  <c r="F103"/>
  <c r="I103" s="1"/>
  <c r="I104"/>
  <c r="F544"/>
  <c r="I545"/>
  <c r="F906"/>
  <c r="I907"/>
  <c r="F87"/>
  <c r="I87" s="1"/>
  <c r="I88"/>
  <c r="F786"/>
  <c r="I787"/>
  <c r="F537"/>
  <c r="I537" s="1"/>
  <c r="I538"/>
  <c r="F821"/>
  <c r="I821" s="1"/>
  <c r="I822"/>
  <c r="F641"/>
  <c r="I642"/>
  <c r="F207"/>
  <c r="I208"/>
  <c r="F132"/>
  <c r="H536"/>
  <c r="H498" s="1"/>
  <c r="F33" i="46" s="1"/>
  <c r="G847" i="38"/>
  <c r="I847" s="1"/>
  <c r="G501"/>
  <c r="G500" s="1"/>
  <c r="J500" s="1"/>
  <c r="F612" i="4"/>
  <c r="I612" s="1"/>
  <c r="H605"/>
  <c r="H604"/>
  <c r="F35" i="46" s="1"/>
  <c r="F172" i="4"/>
  <c r="I173"/>
  <c r="H666"/>
  <c r="H667"/>
  <c r="F432"/>
  <c r="I432" s="1"/>
  <c r="I433"/>
  <c r="F347"/>
  <c r="I347" s="1"/>
  <c r="I348"/>
  <c r="F166"/>
  <c r="I166" s="1"/>
  <c r="I167"/>
  <c r="F370"/>
  <c r="I370" s="1"/>
  <c r="I371"/>
  <c r="F530"/>
  <c r="I530" s="1"/>
  <c r="I531"/>
  <c r="F435"/>
  <c r="I435" s="1"/>
  <c r="I436"/>
  <c r="F155"/>
  <c r="I156"/>
  <c r="F696"/>
  <c r="I696" s="1"/>
  <c r="I697"/>
  <c r="F378"/>
  <c r="I378" s="1"/>
  <c r="I379"/>
  <c r="F465"/>
  <c r="I466"/>
  <c r="F148"/>
  <c r="I149"/>
  <c r="F415"/>
  <c r="I416"/>
  <c r="F830"/>
  <c r="I831"/>
  <c r="H731"/>
  <c r="H730"/>
  <c r="F38" i="46" s="1"/>
  <c r="F741" i="4"/>
  <c r="I742"/>
  <c r="F252"/>
  <c r="I253"/>
  <c r="F522"/>
  <c r="I522" s="1"/>
  <c r="I523"/>
  <c r="F574"/>
  <c r="I575"/>
  <c r="F567"/>
  <c r="I568"/>
  <c r="F241"/>
  <c r="I242"/>
  <c r="F461"/>
  <c r="I461" s="1"/>
  <c r="I462"/>
  <c r="F839"/>
  <c r="I839" s="1"/>
  <c r="I840"/>
  <c r="F677"/>
  <c r="I678"/>
  <c r="F854"/>
  <c r="I855"/>
  <c r="F223"/>
  <c r="I224"/>
  <c r="F609"/>
  <c r="I610"/>
  <c r="F514"/>
  <c r="I515"/>
  <c r="H193"/>
  <c r="F19" i="46"/>
  <c r="F18" s="1"/>
  <c r="F519" i="4"/>
  <c r="I519" s="1"/>
  <c r="I520"/>
  <c r="F797"/>
  <c r="I797" s="1"/>
  <c r="I798"/>
  <c r="F670"/>
  <c r="I671"/>
  <c r="F746"/>
  <c r="I747"/>
  <c r="F479"/>
  <c r="I479" s="1"/>
  <c r="I480"/>
  <c r="F818"/>
  <c r="I819"/>
  <c r="F579"/>
  <c r="I580"/>
  <c r="F533"/>
  <c r="I533" s="1"/>
  <c r="I534"/>
  <c r="F570"/>
  <c r="I570" s="1"/>
  <c r="I571"/>
  <c r="F681"/>
  <c r="I682"/>
  <c r="F257"/>
  <c r="I257" s="1"/>
  <c r="I258"/>
  <c r="F502"/>
  <c r="I503"/>
  <c r="F183"/>
  <c r="I184"/>
  <c r="F387"/>
  <c r="I387" s="1"/>
  <c r="I388"/>
  <c r="F527"/>
  <c r="I528"/>
  <c r="F308"/>
  <c r="I309"/>
  <c r="F866"/>
  <c r="I866" s="1"/>
  <c r="I867"/>
  <c r="F140"/>
  <c r="I141"/>
  <c r="F882"/>
  <c r="I882" s="1"/>
  <c r="I883"/>
  <c r="F344"/>
  <c r="I345"/>
  <c r="F863"/>
  <c r="I863" s="1"/>
  <c r="I864"/>
  <c r="F455"/>
  <c r="I455" s="1"/>
  <c r="I456"/>
  <c r="F313"/>
  <c r="I314"/>
  <c r="F618"/>
  <c r="I619"/>
  <c r="F836"/>
  <c r="I837"/>
  <c r="F291"/>
  <c r="I292"/>
  <c r="H169"/>
  <c r="H137" s="1"/>
  <c r="H101" s="1"/>
  <c r="H412"/>
  <c r="F550"/>
  <c r="F557"/>
  <c r="H826"/>
  <c r="H825" s="1"/>
  <c r="F42" i="46" s="1"/>
  <c r="F806" i="4"/>
  <c r="I806" s="1"/>
  <c r="F474"/>
  <c r="I475"/>
  <c r="F471"/>
  <c r="I472"/>
  <c r="H217"/>
  <c r="F22" i="46"/>
  <c r="F20" s="1"/>
  <c r="F871" i="4"/>
  <c r="I872"/>
  <c r="F364"/>
  <c r="I365"/>
  <c r="F384"/>
  <c r="I384" s="1"/>
  <c r="I385"/>
  <c r="F505"/>
  <c r="I505" s="1"/>
  <c r="I506"/>
  <c r="F398"/>
  <c r="I399"/>
  <c r="F685"/>
  <c r="I686"/>
  <c r="F516"/>
  <c r="I516" s="1"/>
  <c r="I517"/>
  <c r="F151"/>
  <c r="I151" s="1"/>
  <c r="I152"/>
  <c r="F510"/>
  <c r="I510" s="1"/>
  <c r="I511"/>
  <c r="F443"/>
  <c r="I443" s="1"/>
  <c r="I444"/>
  <c r="F294"/>
  <c r="I294" s="1"/>
  <c r="I295"/>
  <c r="F418"/>
  <c r="I418" s="1"/>
  <c r="I419"/>
  <c r="F482"/>
  <c r="I482" s="1"/>
  <c r="I483"/>
  <c r="F143"/>
  <c r="I143" s="1"/>
  <c r="I144"/>
  <c r="F876"/>
  <c r="I876" s="1"/>
  <c r="I877"/>
  <c r="F699"/>
  <c r="I699" s="1"/>
  <c r="I700"/>
  <c r="F879"/>
  <c r="I880"/>
  <c r="F198"/>
  <c r="I199"/>
  <c r="F592"/>
  <c r="I592" s="1"/>
  <c r="I593"/>
  <c r="F562"/>
  <c r="I562" s="1"/>
  <c r="I563"/>
  <c r="F583"/>
  <c r="I584"/>
  <c r="F161"/>
  <c r="I162"/>
  <c r="F391"/>
  <c r="I392"/>
  <c r="F176"/>
  <c r="I177"/>
  <c r="F263"/>
  <c r="I264"/>
  <c r="H341"/>
  <c r="H340"/>
  <c r="F458"/>
  <c r="I458" s="1"/>
  <c r="I459"/>
  <c r="F485"/>
  <c r="I485" s="1"/>
  <c r="I486"/>
  <c r="F673"/>
  <c r="I673" s="1"/>
  <c r="I674"/>
  <c r="F429"/>
  <c r="I429" s="1"/>
  <c r="I430"/>
  <c r="F589"/>
  <c r="I589" s="1"/>
  <c r="I590"/>
  <c r="F426"/>
  <c r="I426" s="1"/>
  <c r="I427"/>
  <c r="F393"/>
  <c r="I393" s="1"/>
  <c r="I394"/>
  <c r="F373"/>
  <c r="I373" s="1"/>
  <c r="I374"/>
  <c r="F367"/>
  <c r="I367" s="1"/>
  <c r="I368"/>
  <c r="F178"/>
  <c r="I178" s="1"/>
  <c r="I179"/>
  <c r="F452"/>
  <c r="I453"/>
  <c r="F446"/>
  <c r="I446" s="1"/>
  <c r="I447"/>
  <c r="F423"/>
  <c r="I424"/>
  <c r="F381"/>
  <c r="I381" s="1"/>
  <c r="I382"/>
  <c r="F693"/>
  <c r="I693" s="1"/>
  <c r="I694"/>
  <c r="F802"/>
  <c r="I803"/>
  <c r="F690"/>
  <c r="I691"/>
  <c r="F597"/>
  <c r="I598"/>
  <c r="F476"/>
  <c r="I476" s="1"/>
  <c r="I477"/>
  <c r="F438"/>
  <c r="I438" s="1"/>
  <c r="I439"/>
  <c r="F857"/>
  <c r="I857" s="1"/>
  <c r="I858"/>
  <c r="F236"/>
  <c r="I237"/>
  <c r="F163"/>
  <c r="I163" s="1"/>
  <c r="I164"/>
  <c r="F586"/>
  <c r="I586" s="1"/>
  <c r="I587"/>
  <c r="F286"/>
  <c r="I287"/>
  <c r="F734"/>
  <c r="H547"/>
  <c r="H546" s="1"/>
  <c r="F34" i="46" s="1"/>
  <c r="F794" i="4"/>
  <c r="I674" i="38"/>
  <c r="F811" i="4"/>
  <c r="I811" s="1"/>
  <c r="J652" i="38"/>
  <c r="J911"/>
  <c r="G48" i="47"/>
  <c r="I48" s="1"/>
  <c r="I571" i="38"/>
  <c r="J524"/>
  <c r="I635"/>
  <c r="I579"/>
  <c r="I725"/>
  <c r="I393"/>
  <c r="J471"/>
  <c r="G358"/>
  <c r="I358" s="1"/>
  <c r="G488" i="47"/>
  <c r="J488" s="1"/>
  <c r="I387" i="38"/>
  <c r="J359"/>
  <c r="J649"/>
  <c r="I110"/>
  <c r="J854"/>
  <c r="I443"/>
  <c r="J502"/>
  <c r="J94" i="47"/>
  <c r="G673" i="38"/>
  <c r="I673" s="1"/>
  <c r="G470"/>
  <c r="I470" s="1"/>
  <c r="G109"/>
  <c r="I109" s="1"/>
  <c r="J579"/>
  <c r="G570"/>
  <c r="J570" s="1"/>
  <c r="G698"/>
  <c r="J698" s="1"/>
  <c r="J906"/>
  <c r="J638"/>
  <c r="I139"/>
  <c r="I426"/>
  <c r="I465"/>
  <c r="J719"/>
  <c r="J367"/>
  <c r="F272" i="4"/>
  <c r="J710" i="38"/>
  <c r="I370"/>
  <c r="G923"/>
  <c r="G922" s="1"/>
  <c r="G304"/>
  <c r="I304" s="1"/>
  <c r="I688"/>
  <c r="J559"/>
  <c r="G209"/>
  <c r="I209" s="1"/>
  <c r="J678"/>
  <c r="I94" i="47"/>
  <c r="I502" i="38"/>
  <c r="J465"/>
  <c r="G709"/>
  <c r="J709" s="1"/>
  <c r="G558"/>
  <c r="J558" s="1"/>
  <c r="I924"/>
  <c r="H272" i="4" s="1"/>
  <c r="H271" s="1"/>
  <c r="H270" s="1"/>
  <c r="H269" s="1"/>
  <c r="H268" s="1"/>
  <c r="H267" s="1"/>
  <c r="H266" s="1"/>
  <c r="I49" i="47"/>
  <c r="I911" i="38"/>
  <c r="G645"/>
  <c r="J645" s="1"/>
  <c r="J646"/>
  <c r="I213"/>
  <c r="I906"/>
  <c r="J688"/>
  <c r="G64"/>
  <c r="J64" s="1"/>
  <c r="G442"/>
  <c r="I442" s="1"/>
  <c r="G677"/>
  <c r="J677" s="1"/>
  <c r="G52"/>
  <c r="I53"/>
  <c r="J53"/>
  <c r="J604"/>
  <c r="I604"/>
  <c r="J286"/>
  <c r="I286"/>
  <c r="J71"/>
  <c r="I71"/>
  <c r="I405"/>
  <c r="J405"/>
  <c r="J807"/>
  <c r="I807"/>
  <c r="I429"/>
  <c r="J429"/>
  <c r="G12"/>
  <c r="I13"/>
  <c r="J13"/>
  <c r="I586"/>
  <c r="J586"/>
  <c r="G909"/>
  <c r="J910"/>
  <c r="I910"/>
  <c r="J800"/>
  <c r="I800"/>
  <c r="J83"/>
  <c r="I83"/>
  <c r="I461"/>
  <c r="J461"/>
  <c r="G530"/>
  <c r="I531"/>
  <c r="J531"/>
  <c r="I896"/>
  <c r="J896"/>
  <c r="J690"/>
  <c r="I690"/>
  <c r="G261"/>
  <c r="G260" s="1"/>
  <c r="I262"/>
  <c r="J262"/>
  <c r="I455"/>
  <c r="J455"/>
  <c r="G762"/>
  <c r="I763"/>
  <c r="J763"/>
  <c r="G969"/>
  <c r="J970"/>
  <c r="I970"/>
  <c r="G247"/>
  <c r="J248"/>
  <c r="I248"/>
  <c r="G397"/>
  <c r="I398"/>
  <c r="J398"/>
  <c r="J446"/>
  <c r="I446"/>
  <c r="J384"/>
  <c r="I384"/>
  <c r="G731"/>
  <c r="J732"/>
  <c r="I732"/>
  <c r="I408"/>
  <c r="J408"/>
  <c r="G165"/>
  <c r="J166"/>
  <c r="I166"/>
  <c r="G414"/>
  <c r="J418"/>
  <c r="I418"/>
  <c r="G581"/>
  <c r="I582"/>
  <c r="J582"/>
  <c r="G32"/>
  <c r="I39"/>
  <c r="J39"/>
  <c r="J838"/>
  <c r="I838"/>
  <c r="J190"/>
  <c r="I190"/>
  <c r="I612"/>
  <c r="J612"/>
  <c r="J324"/>
  <c r="I324"/>
  <c r="G390"/>
  <c r="I391"/>
  <c r="J391"/>
  <c r="G113"/>
  <c r="I114"/>
  <c r="J114"/>
  <c r="G342"/>
  <c r="I343"/>
  <c r="J343"/>
  <c r="G926"/>
  <c r="I930"/>
  <c r="J930"/>
  <c r="G548"/>
  <c r="J549"/>
  <c r="I549"/>
  <c r="J458"/>
  <c r="I458"/>
  <c r="G488"/>
  <c r="I489"/>
  <c r="J489"/>
  <c r="I438"/>
  <c r="J438"/>
  <c r="I479"/>
  <c r="J479"/>
  <c r="J626"/>
  <c r="I626"/>
  <c r="G769"/>
  <c r="J770"/>
  <c r="I770"/>
  <c r="G874"/>
  <c r="I875"/>
  <c r="J875"/>
  <c r="J510"/>
  <c r="I510"/>
  <c r="I485"/>
  <c r="J485"/>
  <c r="I950"/>
  <c r="J950"/>
  <c r="J48"/>
  <c r="I48"/>
  <c r="J482"/>
  <c r="I482"/>
  <c r="I702"/>
  <c r="J702"/>
  <c r="J56"/>
  <c r="I56"/>
  <c r="J699"/>
  <c r="I699"/>
  <c r="J327"/>
  <c r="I327"/>
  <c r="G914"/>
  <c r="I915"/>
  <c r="J915"/>
  <c r="G363"/>
  <c r="J364"/>
  <c r="I364"/>
  <c r="G799"/>
  <c r="G401"/>
  <c r="G825"/>
  <c r="G585"/>
  <c r="G892"/>
  <c r="I893"/>
  <c r="J893"/>
  <c r="G184"/>
  <c r="I185"/>
  <c r="J185"/>
  <c r="G618"/>
  <c r="I619"/>
  <c r="J619"/>
  <c r="G92"/>
  <c r="I93"/>
  <c r="J93"/>
  <c r="G88"/>
  <c r="J89"/>
  <c r="I89"/>
  <c r="I305"/>
  <c r="J305"/>
  <c r="G18"/>
  <c r="I19"/>
  <c r="J19"/>
  <c r="G520"/>
  <c r="I527"/>
  <c r="J527"/>
  <c r="J452"/>
  <c r="I452"/>
  <c r="I308"/>
  <c r="J308"/>
  <c r="G172"/>
  <c r="J176"/>
  <c r="I176"/>
  <c r="G133"/>
  <c r="J134"/>
  <c r="I134"/>
  <c r="G348"/>
  <c r="I349"/>
  <c r="J349"/>
  <c r="I988"/>
  <c r="J988"/>
  <c r="G577"/>
  <c r="J578"/>
  <c r="I578"/>
  <c r="J378"/>
  <c r="I378"/>
  <c r="I449"/>
  <c r="J449"/>
  <c r="I381"/>
  <c r="J381"/>
  <c r="G667"/>
  <c r="J668"/>
  <c r="I668"/>
  <c r="I902"/>
  <c r="J902"/>
  <c r="G901"/>
  <c r="G867"/>
  <c r="J868"/>
  <c r="I868"/>
  <c r="G634"/>
  <c r="I641"/>
  <c r="J641"/>
  <c r="I195"/>
  <c r="J195"/>
  <c r="I423"/>
  <c r="J423"/>
  <c r="G77"/>
  <c r="J78"/>
  <c r="I78"/>
  <c r="J265"/>
  <c r="I265"/>
  <c r="G203"/>
  <c r="J204"/>
  <c r="I204"/>
  <c r="G99"/>
  <c r="I100"/>
  <c r="J100"/>
  <c r="J516"/>
  <c r="I516"/>
  <c r="I266"/>
  <c r="J266"/>
  <c r="I68"/>
  <c r="J68"/>
  <c r="G938"/>
  <c r="I939"/>
  <c r="J939"/>
  <c r="G718"/>
  <c r="I728"/>
  <c r="J728"/>
  <c r="I655"/>
  <c r="J655"/>
  <c r="I432"/>
  <c r="J432"/>
  <c r="G217"/>
  <c r="J218"/>
  <c r="I218"/>
  <c r="G473"/>
  <c r="L411" s="1"/>
  <c r="I474"/>
  <c r="J474"/>
  <c r="G157"/>
  <c r="J158"/>
  <c r="I158"/>
  <c r="G142"/>
  <c r="I145"/>
  <c r="J145"/>
  <c r="G779"/>
  <c r="G778" s="1"/>
  <c r="J794"/>
  <c r="I794"/>
  <c r="G751"/>
  <c r="J752"/>
  <c r="I752"/>
  <c r="G226"/>
  <c r="I227"/>
  <c r="J227"/>
  <c r="J122"/>
  <c r="I122"/>
  <c r="G882"/>
  <c r="J883"/>
  <c r="I883"/>
  <c r="I681"/>
  <c r="J681"/>
  <c r="G976"/>
  <c r="I977"/>
  <c r="J977"/>
  <c r="G960"/>
  <c r="J961"/>
  <c r="I961"/>
  <c r="I80"/>
  <c r="J80"/>
  <c r="J476"/>
  <c r="I476"/>
  <c r="J402"/>
  <c r="I402"/>
  <c r="G996"/>
  <c r="I1000"/>
  <c r="J1000"/>
  <c r="I713"/>
  <c r="J713"/>
  <c r="J65"/>
  <c r="I65"/>
  <c r="I684"/>
  <c r="J684"/>
  <c r="G312"/>
  <c r="I313"/>
  <c r="J313"/>
  <c r="G252"/>
  <c r="J253"/>
  <c r="I253"/>
  <c r="J180"/>
  <c r="I180"/>
  <c r="J332"/>
  <c r="I332"/>
  <c r="G842"/>
  <c r="I843"/>
  <c r="J843"/>
  <c r="I829"/>
  <c r="J829"/>
  <c r="I857"/>
  <c r="J857"/>
  <c r="J464"/>
  <c r="I464"/>
  <c r="I687"/>
  <c r="J687"/>
  <c r="G705"/>
  <c r="I706"/>
  <c r="J706"/>
  <c r="G282"/>
  <c r="J283"/>
  <c r="I283"/>
  <c r="G965"/>
  <c r="I966"/>
  <c r="J966"/>
  <c r="G774"/>
  <c r="I775"/>
  <c r="J775"/>
  <c r="G741"/>
  <c r="J742"/>
  <c r="I742"/>
  <c r="G148"/>
  <c r="J149"/>
  <c r="I149"/>
  <c r="J1003"/>
  <c r="I1003"/>
  <c r="G817"/>
  <c r="J818"/>
  <c r="I818"/>
  <c r="I513"/>
  <c r="J513"/>
  <c r="G542"/>
  <c r="I543"/>
  <c r="J543"/>
  <c r="G984"/>
  <c r="L871" s="1"/>
  <c r="I985"/>
  <c r="J985"/>
  <c r="G422"/>
  <c r="G316"/>
  <c r="G509"/>
  <c r="G478" i="47"/>
  <c r="I479"/>
  <c r="J479"/>
  <c r="I537"/>
  <c r="J537"/>
  <c r="J463"/>
  <c r="I463"/>
  <c r="G235"/>
  <c r="J236"/>
  <c r="I236"/>
  <c r="G357"/>
  <c r="I358"/>
  <c r="J358"/>
  <c r="G738"/>
  <c r="J739"/>
  <c r="I739"/>
  <c r="G72"/>
  <c r="I73"/>
  <c r="J73"/>
  <c r="G210"/>
  <c r="I211"/>
  <c r="J211"/>
  <c r="G248"/>
  <c r="I249"/>
  <c r="J249"/>
  <c r="G223"/>
  <c r="I224"/>
  <c r="J224"/>
  <c r="I594"/>
  <c r="J594"/>
  <c r="G593"/>
  <c r="G603"/>
  <c r="I604"/>
  <c r="J604"/>
  <c r="G12"/>
  <c r="I13"/>
  <c r="J13"/>
  <c r="J35"/>
  <c r="I35"/>
  <c r="G649"/>
  <c r="I650"/>
  <c r="J650"/>
  <c r="G571"/>
  <c r="J572"/>
  <c r="I572"/>
  <c r="G352"/>
  <c r="J353"/>
  <c r="I353"/>
  <c r="G497"/>
  <c r="J498"/>
  <c r="I498"/>
  <c r="J325"/>
  <c r="I325"/>
  <c r="G710"/>
  <c r="J711"/>
  <c r="I711"/>
  <c r="G471"/>
  <c r="J472"/>
  <c r="I472"/>
  <c r="G702"/>
  <c r="J703"/>
  <c r="I703"/>
  <c r="J364"/>
  <c r="I364"/>
  <c r="G363"/>
  <c r="G551"/>
  <c r="I552"/>
  <c r="J552"/>
  <c r="I310"/>
  <c r="J310"/>
  <c r="J483"/>
  <c r="I483"/>
  <c r="J399"/>
  <c r="I399"/>
  <c r="G173"/>
  <c r="J174"/>
  <c r="I174"/>
  <c r="G113"/>
  <c r="J114"/>
  <c r="I114"/>
  <c r="J329"/>
  <c r="I329"/>
  <c r="G657"/>
  <c r="I658"/>
  <c r="J658"/>
  <c r="G586"/>
  <c r="J587"/>
  <c r="I587"/>
  <c r="G217"/>
  <c r="I218"/>
  <c r="J218"/>
  <c r="G77"/>
  <c r="I78"/>
  <c r="J78"/>
  <c r="G503"/>
  <c r="I504"/>
  <c r="J504"/>
  <c r="G677"/>
  <c r="J678"/>
  <c r="I678"/>
  <c r="G544"/>
  <c r="I545"/>
  <c r="J545"/>
  <c r="G421"/>
  <c r="I422"/>
  <c r="J422"/>
  <c r="G621"/>
  <c r="I622"/>
  <c r="J622"/>
  <c r="J321"/>
  <c r="I321"/>
  <c r="G320"/>
  <c r="J340"/>
  <c r="I340"/>
  <c r="G339"/>
  <c r="G683"/>
  <c r="J684"/>
  <c r="I684"/>
  <c r="G450"/>
  <c r="J451"/>
  <c r="I451"/>
  <c r="G373"/>
  <c r="J374"/>
  <c r="I374"/>
  <c r="G429"/>
  <c r="I430"/>
  <c r="J430"/>
  <c r="G717"/>
  <c r="J718"/>
  <c r="I718"/>
  <c r="G414"/>
  <c r="I415"/>
  <c r="J415"/>
  <c r="G134"/>
  <c r="J135"/>
  <c r="I135"/>
  <c r="G294"/>
  <c r="J295"/>
  <c r="I295"/>
  <c r="I405"/>
  <c r="J405"/>
  <c r="G404"/>
  <c r="G20"/>
  <c r="I21"/>
  <c r="J21"/>
  <c r="G745"/>
  <c r="J746"/>
  <c r="I746"/>
  <c r="J425"/>
  <c r="I425"/>
  <c r="G559"/>
  <c r="I560"/>
  <c r="J560"/>
  <c r="J290"/>
  <c r="G150"/>
  <c r="I151"/>
  <c r="J151"/>
  <c r="J344"/>
  <c r="I344"/>
  <c r="I444"/>
  <c r="J444"/>
  <c r="G689"/>
  <c r="J690"/>
  <c r="I690"/>
  <c r="G274"/>
  <c r="I275"/>
  <c r="J275"/>
  <c r="G314"/>
  <c r="J315"/>
  <c r="I315"/>
  <c r="G670"/>
  <c r="I671"/>
  <c r="J671"/>
  <c r="G181"/>
  <c r="J182"/>
  <c r="I182"/>
  <c r="G127"/>
  <c r="I128"/>
  <c r="J128"/>
  <c r="G616"/>
  <c r="J617"/>
  <c r="I617"/>
  <c r="G190"/>
  <c r="J191"/>
  <c r="I191"/>
  <c r="J25"/>
  <c r="I25"/>
  <c r="I731"/>
  <c r="J731"/>
  <c r="G729"/>
  <c r="G730"/>
  <c r="G64"/>
  <c r="I65"/>
  <c r="J65"/>
  <c r="G63"/>
  <c r="G157"/>
  <c r="J158"/>
  <c r="I158"/>
  <c r="G387"/>
  <c r="I388"/>
  <c r="J388"/>
  <c r="J348"/>
  <c r="I348"/>
  <c r="G636"/>
  <c r="J637"/>
  <c r="I637"/>
  <c r="G195"/>
  <c r="I196"/>
  <c r="J196"/>
  <c r="G229"/>
  <c r="I230"/>
  <c r="J230"/>
  <c r="G306"/>
  <c r="J307"/>
  <c r="I307"/>
  <c r="J261"/>
  <c r="I261"/>
  <c r="G260"/>
  <c r="G165"/>
  <c r="I166"/>
  <c r="J166"/>
  <c r="G526"/>
  <c r="I527"/>
  <c r="J527"/>
  <c r="G141"/>
  <c r="I142"/>
  <c r="J142"/>
  <c r="G300"/>
  <c r="I301"/>
  <c r="J301"/>
  <c r="I41"/>
  <c r="J41"/>
  <c r="J286"/>
  <c r="I286"/>
  <c r="G285"/>
  <c r="J480"/>
  <c r="I480"/>
  <c r="I436"/>
  <c r="J436"/>
  <c r="G435"/>
  <c r="G516"/>
  <c r="I517"/>
  <c r="J517"/>
  <c r="G510"/>
  <c r="I511"/>
  <c r="J511"/>
  <c r="G752"/>
  <c r="I753"/>
  <c r="J753"/>
  <c r="G456"/>
  <c r="J457"/>
  <c r="I457"/>
  <c r="G243"/>
  <c r="I244"/>
  <c r="J244"/>
  <c r="J598"/>
  <c r="I598"/>
  <c r="G579"/>
  <c r="I580"/>
  <c r="J580"/>
  <c r="G723"/>
  <c r="I724"/>
  <c r="J724"/>
  <c r="G121"/>
  <c r="I122"/>
  <c r="J122"/>
  <c r="I269"/>
  <c r="J269"/>
  <c r="J368"/>
  <c r="I368"/>
  <c r="G609"/>
  <c r="I610"/>
  <c r="J610"/>
  <c r="J29"/>
  <c r="I29"/>
  <c r="G627"/>
  <c r="I628"/>
  <c r="J628"/>
  <c r="G532"/>
  <c r="I533"/>
  <c r="J533"/>
  <c r="G104"/>
  <c r="I105"/>
  <c r="J105"/>
  <c r="G58"/>
  <c r="J59"/>
  <c r="I59"/>
  <c r="G379"/>
  <c r="I380"/>
  <c r="J380"/>
  <c r="I440"/>
  <c r="J440"/>
  <c r="G663"/>
  <c r="J664"/>
  <c r="I664"/>
  <c r="G696"/>
  <c r="J697"/>
  <c r="I697"/>
  <c r="G83"/>
  <c r="J84"/>
  <c r="I84"/>
  <c r="G202"/>
  <c r="I203"/>
  <c r="J203"/>
  <c r="G565"/>
  <c r="J566"/>
  <c r="I566"/>
  <c r="I409"/>
  <c r="J409"/>
  <c r="G279"/>
  <c r="I280"/>
  <c r="J280"/>
  <c r="J395"/>
  <c r="I395"/>
  <c r="G394"/>
  <c r="J265"/>
  <c r="I265"/>
  <c r="G92"/>
  <c r="I93"/>
  <c r="J93"/>
  <c r="F359" i="4"/>
  <c r="F26"/>
  <c r="O498" i="38" l="1"/>
  <c r="N411"/>
  <c r="O411"/>
  <c r="O631"/>
  <c r="N631"/>
  <c r="L629"/>
  <c r="L695"/>
  <c r="H849" i="4"/>
  <c r="I565" i="38"/>
  <c r="J943"/>
  <c r="I943"/>
  <c r="I500"/>
  <c r="F102" i="4"/>
  <c r="I102" s="1"/>
  <c r="J847" i="38"/>
  <c r="F52" i="4"/>
  <c r="I52" s="1"/>
  <c r="I501" i="38"/>
  <c r="J501"/>
  <c r="G846"/>
  <c r="J846" s="1"/>
  <c r="F22" i="4"/>
  <c r="I26"/>
  <c r="F640"/>
  <c r="I640" s="1"/>
  <c r="I641"/>
  <c r="F543"/>
  <c r="I543" s="1"/>
  <c r="I544"/>
  <c r="I781"/>
  <c r="F770"/>
  <c r="I770" s="1"/>
  <c r="F11"/>
  <c r="I12"/>
  <c r="F900"/>
  <c r="I901"/>
  <c r="I331"/>
  <c r="F330"/>
  <c r="I330" s="1"/>
  <c r="I207"/>
  <c r="F201"/>
  <c r="I201" s="1"/>
  <c r="F785"/>
  <c r="I786"/>
  <c r="D48" i="46"/>
  <c r="I906" i="4"/>
  <c r="F905"/>
  <c r="I905" s="1"/>
  <c r="F885"/>
  <c r="I885" s="1"/>
  <c r="I886"/>
  <c r="F540"/>
  <c r="I541"/>
  <c r="I759"/>
  <c r="F750"/>
  <c r="F621"/>
  <c r="I621" s="1"/>
  <c r="I622"/>
  <c r="F187"/>
  <c r="I188"/>
  <c r="F654"/>
  <c r="I654" s="1"/>
  <c r="I655"/>
  <c r="F77"/>
  <c r="I77" s="1"/>
  <c r="F131"/>
  <c r="I131" s="1"/>
  <c r="I132"/>
  <c r="F843"/>
  <c r="I844"/>
  <c r="I48"/>
  <c r="F39"/>
  <c r="F96"/>
  <c r="I97"/>
  <c r="F118"/>
  <c r="I118" s="1"/>
  <c r="I122"/>
  <c r="I698" i="38"/>
  <c r="F805" i="4"/>
  <c r="I805" s="1"/>
  <c r="G47" i="47"/>
  <c r="J47" s="1"/>
  <c r="G303" i="38"/>
  <c r="J303" s="1"/>
  <c r="F30" i="46"/>
  <c r="F611" i="4"/>
  <c r="I611" s="1"/>
  <c r="J48" i="47"/>
  <c r="J470" i="38"/>
  <c r="H784" i="4"/>
  <c r="F358"/>
  <c r="I359"/>
  <c r="H339"/>
  <c r="F29" i="46"/>
  <c r="F28" s="1"/>
  <c r="I291" i="4"/>
  <c r="F290"/>
  <c r="F617"/>
  <c r="I617" s="1"/>
  <c r="I618"/>
  <c r="I344"/>
  <c r="F343"/>
  <c r="I140"/>
  <c r="F139"/>
  <c r="F307"/>
  <c r="I308"/>
  <c r="I502"/>
  <c r="F501"/>
  <c r="F680"/>
  <c r="I680" s="1"/>
  <c r="I681"/>
  <c r="F817"/>
  <c r="I818"/>
  <c r="F745"/>
  <c r="I746"/>
  <c r="F513"/>
  <c r="I514"/>
  <c r="F222"/>
  <c r="I223"/>
  <c r="F676"/>
  <c r="I676" s="1"/>
  <c r="I677"/>
  <c r="I567"/>
  <c r="F566"/>
  <c r="F740"/>
  <c r="I741"/>
  <c r="F829"/>
  <c r="I830"/>
  <c r="I148"/>
  <c r="F147"/>
  <c r="F154"/>
  <c r="I154" s="1"/>
  <c r="I155"/>
  <c r="H665"/>
  <c r="F37" i="46"/>
  <c r="F36" s="1"/>
  <c r="F25"/>
  <c r="F24" s="1"/>
  <c r="H265" i="4"/>
  <c r="F793"/>
  <c r="I794"/>
  <c r="F285"/>
  <c r="I286"/>
  <c r="I690"/>
  <c r="F689"/>
  <c r="I423"/>
  <c r="F422"/>
  <c r="I452"/>
  <c r="F442"/>
  <c r="F260"/>
  <c r="I263"/>
  <c r="F390"/>
  <c r="I391"/>
  <c r="I583"/>
  <c r="F582"/>
  <c r="I879"/>
  <c r="F875"/>
  <c r="F397"/>
  <c r="I398"/>
  <c r="F870"/>
  <c r="I871"/>
  <c r="F470"/>
  <c r="I471"/>
  <c r="F549"/>
  <c r="I550"/>
  <c r="H354"/>
  <c r="F556"/>
  <c r="I557"/>
  <c r="I836"/>
  <c r="F835"/>
  <c r="F312"/>
  <c r="I313"/>
  <c r="I527"/>
  <c r="F526"/>
  <c r="F182"/>
  <c r="I183"/>
  <c r="F578"/>
  <c r="I578" s="1"/>
  <c r="I579"/>
  <c r="I670"/>
  <c r="F669"/>
  <c r="F608"/>
  <c r="I609"/>
  <c r="I854"/>
  <c r="F853"/>
  <c r="F240"/>
  <c r="I241"/>
  <c r="F573"/>
  <c r="I573" s="1"/>
  <c r="I574"/>
  <c r="F251"/>
  <c r="I252"/>
  <c r="F414"/>
  <c r="I415"/>
  <c r="F464"/>
  <c r="I464" s="1"/>
  <c r="I465"/>
  <c r="F171"/>
  <c r="I172"/>
  <c r="F271"/>
  <c r="I272"/>
  <c r="F733"/>
  <c r="I734"/>
  <c r="F232"/>
  <c r="I236"/>
  <c r="F596"/>
  <c r="I597"/>
  <c r="F801"/>
  <c r="I801" s="1"/>
  <c r="I802"/>
  <c r="F175"/>
  <c r="I176"/>
  <c r="F160"/>
  <c r="I161"/>
  <c r="F197"/>
  <c r="I198"/>
  <c r="F684"/>
  <c r="I684" s="1"/>
  <c r="I685"/>
  <c r="I364"/>
  <c r="F363"/>
  <c r="F473"/>
  <c r="I473" s="1"/>
  <c r="I474"/>
  <c r="F15" i="46"/>
  <c r="F9" s="1"/>
  <c r="H9" i="4"/>
  <c r="I488" i="47"/>
  <c r="G357" i="38"/>
  <c r="J357" s="1"/>
  <c r="F39" i="46"/>
  <c r="J109" i="38"/>
  <c r="I709"/>
  <c r="J304"/>
  <c r="G569"/>
  <c r="J569" s="1"/>
  <c r="J358"/>
  <c r="G108"/>
  <c r="G106" s="1"/>
  <c r="G487" i="47"/>
  <c r="I487" s="1"/>
  <c r="G208" i="38"/>
  <c r="I208" s="1"/>
  <c r="I570"/>
  <c r="J673"/>
  <c r="J209"/>
  <c r="I645"/>
  <c r="J923"/>
  <c r="G557"/>
  <c r="I557" s="1"/>
  <c r="I923"/>
  <c r="G644"/>
  <c r="I644" s="1"/>
  <c r="I558"/>
  <c r="J442"/>
  <c r="G63"/>
  <c r="I63" s="1"/>
  <c r="I64"/>
  <c r="G672"/>
  <c r="I672" s="1"/>
  <c r="I677"/>
  <c r="G441"/>
  <c r="J441" s="1"/>
  <c r="I778"/>
  <c r="J778"/>
  <c r="G816"/>
  <c r="J817"/>
  <c r="I817"/>
  <c r="J741"/>
  <c r="I741"/>
  <c r="I705"/>
  <c r="J705"/>
  <c r="G251"/>
  <c r="J252"/>
  <c r="I252"/>
  <c r="G995"/>
  <c r="I996"/>
  <c r="J996"/>
  <c r="I976"/>
  <c r="J976"/>
  <c r="G225"/>
  <c r="I226"/>
  <c r="J226"/>
  <c r="G156"/>
  <c r="J157"/>
  <c r="I157"/>
  <c r="J718"/>
  <c r="I718"/>
  <c r="G717"/>
  <c r="G98"/>
  <c r="I99"/>
  <c r="J99"/>
  <c r="G76"/>
  <c r="I77"/>
  <c r="J77"/>
  <c r="G347"/>
  <c r="I348"/>
  <c r="J348"/>
  <c r="J18"/>
  <c r="I18"/>
  <c r="J618"/>
  <c r="I618"/>
  <c r="G824"/>
  <c r="J825"/>
  <c r="I825"/>
  <c r="G362"/>
  <c r="I363"/>
  <c r="J363"/>
  <c r="J113"/>
  <c r="I113"/>
  <c r="G31"/>
  <c r="J32"/>
  <c r="I32"/>
  <c r="I731"/>
  <c r="J731"/>
  <c r="G761"/>
  <c r="I762"/>
  <c r="J762"/>
  <c r="J530"/>
  <c r="I530"/>
  <c r="G421"/>
  <c r="I422"/>
  <c r="J422"/>
  <c r="J542"/>
  <c r="I542"/>
  <c r="G773"/>
  <c r="I774"/>
  <c r="J774"/>
  <c r="G311"/>
  <c r="I312"/>
  <c r="J312"/>
  <c r="J882"/>
  <c r="I882"/>
  <c r="I751"/>
  <c r="J751"/>
  <c r="G469"/>
  <c r="I473"/>
  <c r="J473"/>
  <c r="G937"/>
  <c r="J938"/>
  <c r="I938"/>
  <c r="J942"/>
  <c r="I942"/>
  <c r="G633"/>
  <c r="I634"/>
  <c r="J634"/>
  <c r="J577"/>
  <c r="I577"/>
  <c r="G576"/>
  <c r="G132"/>
  <c r="J133"/>
  <c r="I133"/>
  <c r="G179"/>
  <c r="I184"/>
  <c r="J184"/>
  <c r="I585"/>
  <c r="J585"/>
  <c r="I914"/>
  <c r="J914"/>
  <c r="G873"/>
  <c r="I874"/>
  <c r="J874"/>
  <c r="G547"/>
  <c r="I548"/>
  <c r="J548"/>
  <c r="I581"/>
  <c r="J581"/>
  <c r="G396"/>
  <c r="I397"/>
  <c r="J397"/>
  <c r="J316"/>
  <c r="I316"/>
  <c r="G983"/>
  <c r="I984"/>
  <c r="J984"/>
  <c r="G964"/>
  <c r="I965"/>
  <c r="J965"/>
  <c r="I779"/>
  <c r="J779"/>
  <c r="G216"/>
  <c r="J217"/>
  <c r="I217"/>
  <c r="G202"/>
  <c r="I203"/>
  <c r="J203"/>
  <c r="I867"/>
  <c r="J867"/>
  <c r="I667"/>
  <c r="J667"/>
  <c r="G171"/>
  <c r="I172"/>
  <c r="J172"/>
  <c r="G87"/>
  <c r="J88"/>
  <c r="I88"/>
  <c r="G891"/>
  <c r="I892"/>
  <c r="J892"/>
  <c r="J799"/>
  <c r="I799"/>
  <c r="G768"/>
  <c r="I769"/>
  <c r="J769"/>
  <c r="J488"/>
  <c r="I488"/>
  <c r="J926"/>
  <c r="I926"/>
  <c r="G341"/>
  <c r="I342"/>
  <c r="J342"/>
  <c r="G413"/>
  <c r="I414"/>
  <c r="J414"/>
  <c r="G246"/>
  <c r="J247"/>
  <c r="I247"/>
  <c r="G11"/>
  <c r="J12"/>
  <c r="I12"/>
  <c r="G508"/>
  <c r="J509"/>
  <c r="I509"/>
  <c r="G147"/>
  <c r="I148"/>
  <c r="J148"/>
  <c r="J282"/>
  <c r="I282"/>
  <c r="G281"/>
  <c r="G841"/>
  <c r="I842"/>
  <c r="J842"/>
  <c r="G959"/>
  <c r="J960"/>
  <c r="I960"/>
  <c r="G138"/>
  <c r="I142"/>
  <c r="J142"/>
  <c r="G259"/>
  <c r="I260"/>
  <c r="J260"/>
  <c r="G900"/>
  <c r="I901"/>
  <c r="J901"/>
  <c r="G899"/>
  <c r="G519"/>
  <c r="I520"/>
  <c r="J520"/>
  <c r="G91"/>
  <c r="I92"/>
  <c r="J92"/>
  <c r="I401"/>
  <c r="J401"/>
  <c r="G921"/>
  <c r="I922"/>
  <c r="J922"/>
  <c r="G377"/>
  <c r="J390"/>
  <c r="I390"/>
  <c r="G164"/>
  <c r="J165"/>
  <c r="I165"/>
  <c r="I969"/>
  <c r="J969"/>
  <c r="I261"/>
  <c r="J261"/>
  <c r="I909"/>
  <c r="J909"/>
  <c r="J52"/>
  <c r="I52"/>
  <c r="G697"/>
  <c r="G695" i="47"/>
  <c r="J696"/>
  <c r="I696"/>
  <c r="G378"/>
  <c r="J379"/>
  <c r="I379"/>
  <c r="G608"/>
  <c r="J609"/>
  <c r="I609"/>
  <c r="G751"/>
  <c r="J752"/>
  <c r="I752"/>
  <c r="G284"/>
  <c r="J285"/>
  <c r="I285"/>
  <c r="G194"/>
  <c r="J195"/>
  <c r="I195"/>
  <c r="J387"/>
  <c r="I387"/>
  <c r="G385"/>
  <c r="G386"/>
  <c r="J730"/>
  <c r="I730"/>
  <c r="G189"/>
  <c r="J190"/>
  <c r="I190"/>
  <c r="G669"/>
  <c r="J670"/>
  <c r="I670"/>
  <c r="G149"/>
  <c r="J150"/>
  <c r="I150"/>
  <c r="G319"/>
  <c r="I320"/>
  <c r="J320"/>
  <c r="J421"/>
  <c r="I421"/>
  <c r="G420"/>
  <c r="G701"/>
  <c r="J702"/>
  <c r="I702"/>
  <c r="G648"/>
  <c r="J649"/>
  <c r="I649"/>
  <c r="G602"/>
  <c r="J603"/>
  <c r="I603"/>
  <c r="G209"/>
  <c r="J210"/>
  <c r="I210"/>
  <c r="G234"/>
  <c r="I235"/>
  <c r="J235"/>
  <c r="I92"/>
  <c r="J92"/>
  <c r="G626"/>
  <c r="I627"/>
  <c r="J627"/>
  <c r="G120"/>
  <c r="J121"/>
  <c r="I121"/>
  <c r="G509"/>
  <c r="I510"/>
  <c r="J510"/>
  <c r="G434"/>
  <c r="J435"/>
  <c r="I435"/>
  <c r="I300"/>
  <c r="J300"/>
  <c r="G635"/>
  <c r="J636"/>
  <c r="I636"/>
  <c r="G156"/>
  <c r="I157"/>
  <c r="J157"/>
  <c r="I64"/>
  <c r="J64"/>
  <c r="G615"/>
  <c r="I616"/>
  <c r="J616"/>
  <c r="I314"/>
  <c r="J314"/>
  <c r="I294"/>
  <c r="J294"/>
  <c r="I429"/>
  <c r="J429"/>
  <c r="G543"/>
  <c r="I544"/>
  <c r="J544"/>
  <c r="G216"/>
  <c r="I217"/>
  <c r="J217"/>
  <c r="G362"/>
  <c r="I363"/>
  <c r="J363"/>
  <c r="G462"/>
  <c r="J471"/>
  <c r="I471"/>
  <c r="G496"/>
  <c r="I497"/>
  <c r="J497"/>
  <c r="J72"/>
  <c r="I72"/>
  <c r="G71"/>
  <c r="G46"/>
  <c r="I279"/>
  <c r="J279"/>
  <c r="G201"/>
  <c r="I202"/>
  <c r="J202"/>
  <c r="G103"/>
  <c r="J104"/>
  <c r="I104"/>
  <c r="G722"/>
  <c r="I723"/>
  <c r="J723"/>
  <c r="G242"/>
  <c r="G241" s="1"/>
  <c r="J243"/>
  <c r="I243"/>
  <c r="G515"/>
  <c r="J516"/>
  <c r="I516"/>
  <c r="G140"/>
  <c r="I141"/>
  <c r="J141"/>
  <c r="G305"/>
  <c r="J306"/>
  <c r="I306"/>
  <c r="G126"/>
  <c r="J127"/>
  <c r="I127"/>
  <c r="J274"/>
  <c r="I274"/>
  <c r="G744"/>
  <c r="J745"/>
  <c r="I745"/>
  <c r="G403"/>
  <c r="J404"/>
  <c r="I404"/>
  <c r="G133"/>
  <c r="I134"/>
  <c r="J134"/>
  <c r="G372"/>
  <c r="I373"/>
  <c r="J373"/>
  <c r="G676"/>
  <c r="J677"/>
  <c r="I677"/>
  <c r="G585"/>
  <c r="J586"/>
  <c r="I586"/>
  <c r="I113"/>
  <c r="J113"/>
  <c r="G550"/>
  <c r="J551"/>
  <c r="I551"/>
  <c r="G709"/>
  <c r="I710"/>
  <c r="J710"/>
  <c r="J352"/>
  <c r="I352"/>
  <c r="G222"/>
  <c r="J223"/>
  <c r="I223"/>
  <c r="G737"/>
  <c r="J738"/>
  <c r="I738"/>
  <c r="G531"/>
  <c r="J532"/>
  <c r="I532"/>
  <c r="G164"/>
  <c r="J165"/>
  <c r="I165"/>
  <c r="J63"/>
  <c r="I63"/>
  <c r="G716"/>
  <c r="I717"/>
  <c r="J717"/>
  <c r="J683"/>
  <c r="I683"/>
  <c r="J77"/>
  <c r="I77"/>
  <c r="G477"/>
  <c r="J478"/>
  <c r="I478"/>
  <c r="G564"/>
  <c r="J565"/>
  <c r="I565"/>
  <c r="G662"/>
  <c r="I663"/>
  <c r="J663"/>
  <c r="G57"/>
  <c r="G56" s="1"/>
  <c r="I58"/>
  <c r="J58"/>
  <c r="G393"/>
  <c r="J394"/>
  <c r="I394"/>
  <c r="J83"/>
  <c r="I83"/>
  <c r="G82"/>
  <c r="G578"/>
  <c r="I579"/>
  <c r="J579"/>
  <c r="G455"/>
  <c r="I456"/>
  <c r="J456"/>
  <c r="G525"/>
  <c r="J526"/>
  <c r="I526"/>
  <c r="G259"/>
  <c r="J260"/>
  <c r="I260"/>
  <c r="G228"/>
  <c r="I229"/>
  <c r="J229"/>
  <c r="G728"/>
  <c r="I729"/>
  <c r="J729"/>
  <c r="G180"/>
  <c r="J181"/>
  <c r="I181"/>
  <c r="G688"/>
  <c r="I689"/>
  <c r="J689"/>
  <c r="G558"/>
  <c r="I559"/>
  <c r="J559"/>
  <c r="G19"/>
  <c r="J20"/>
  <c r="I20"/>
  <c r="G413"/>
  <c r="J414"/>
  <c r="I414"/>
  <c r="G449"/>
  <c r="J450"/>
  <c r="I450"/>
  <c r="G338"/>
  <c r="J339"/>
  <c r="I339"/>
  <c r="G620"/>
  <c r="I621"/>
  <c r="J621"/>
  <c r="G502"/>
  <c r="I503"/>
  <c r="J503"/>
  <c r="G656"/>
  <c r="J657"/>
  <c r="I657"/>
  <c r="I173"/>
  <c r="J173"/>
  <c r="G170"/>
  <c r="G172"/>
  <c r="G570"/>
  <c r="I571"/>
  <c r="J571"/>
  <c r="G11"/>
  <c r="I12"/>
  <c r="J12"/>
  <c r="G592"/>
  <c r="J593"/>
  <c r="I593"/>
  <c r="I248"/>
  <c r="J248"/>
  <c r="I357"/>
  <c r="J357"/>
  <c r="N695" i="38" l="1"/>
  <c r="O695"/>
  <c r="O629"/>
  <c r="N629"/>
  <c r="I357"/>
  <c r="I846"/>
  <c r="F51" i="4"/>
  <c r="I51" s="1"/>
  <c r="G302" i="38"/>
  <c r="J302" s="1"/>
  <c r="I108"/>
  <c r="F72" i="4"/>
  <c r="F71" s="1"/>
  <c r="F842"/>
  <c r="I842" s="1"/>
  <c r="I843"/>
  <c r="D40" i="46"/>
  <c r="G40" s="1"/>
  <c r="I785" i="4"/>
  <c r="F10"/>
  <c r="I11"/>
  <c r="F17"/>
  <c r="I22"/>
  <c r="D17" i="46"/>
  <c r="I187" i="4"/>
  <c r="F186"/>
  <c r="I186" s="1"/>
  <c r="F749"/>
  <c r="I749" s="1"/>
  <c r="I750"/>
  <c r="D47" i="46"/>
  <c r="G47" s="1"/>
  <c r="G48"/>
  <c r="I900" i="4"/>
  <c r="D46" i="46"/>
  <c r="F899" i="4"/>
  <c r="I899" s="1"/>
  <c r="I303" i="38"/>
  <c r="D14" i="46"/>
  <c r="G14" s="1"/>
  <c r="I96" i="4"/>
  <c r="F38"/>
  <c r="I38" s="1"/>
  <c r="I39"/>
  <c r="I540"/>
  <c r="F536"/>
  <c r="I536" s="1"/>
  <c r="I47" i="47"/>
  <c r="F49" i="46"/>
  <c r="H911" i="4"/>
  <c r="F174"/>
  <c r="I174" s="1"/>
  <c r="I175"/>
  <c r="F732"/>
  <c r="I733"/>
  <c r="F239"/>
  <c r="I239" s="1"/>
  <c r="I240"/>
  <c r="I470"/>
  <c r="F469"/>
  <c r="F256"/>
  <c r="I260"/>
  <c r="F828"/>
  <c r="I829"/>
  <c r="F221"/>
  <c r="I222"/>
  <c r="F306"/>
  <c r="I307"/>
  <c r="F357"/>
  <c r="I358"/>
  <c r="F834"/>
  <c r="I834" s="1"/>
  <c r="I835"/>
  <c r="F577"/>
  <c r="I577" s="1"/>
  <c r="I582"/>
  <c r="F565"/>
  <c r="I565" s="1"/>
  <c r="I566"/>
  <c r="F342"/>
  <c r="I343"/>
  <c r="F289"/>
  <c r="I290"/>
  <c r="F159"/>
  <c r="I160"/>
  <c r="I232"/>
  <c r="F231"/>
  <c r="F170"/>
  <c r="I171"/>
  <c r="F413"/>
  <c r="I414"/>
  <c r="F181"/>
  <c r="I181" s="1"/>
  <c r="I182"/>
  <c r="F311"/>
  <c r="I311" s="1"/>
  <c r="I312"/>
  <c r="F555"/>
  <c r="I555" s="1"/>
  <c r="I556"/>
  <c r="F548"/>
  <c r="I549"/>
  <c r="F869"/>
  <c r="I869" s="1"/>
  <c r="I870"/>
  <c r="F377"/>
  <c r="I390"/>
  <c r="F792"/>
  <c r="I792" s="1"/>
  <c r="I793"/>
  <c r="F739"/>
  <c r="I739" s="1"/>
  <c r="I740"/>
  <c r="F509"/>
  <c r="I513"/>
  <c r="F816"/>
  <c r="I816" s="1"/>
  <c r="I817"/>
  <c r="F800"/>
  <c r="F196"/>
  <c r="I197"/>
  <c r="F595"/>
  <c r="I595" s="1"/>
  <c r="I596"/>
  <c r="F270"/>
  <c r="I271"/>
  <c r="F250"/>
  <c r="I250" s="1"/>
  <c r="I251"/>
  <c r="F607"/>
  <c r="I608"/>
  <c r="F396"/>
  <c r="I396" s="1"/>
  <c r="I397"/>
  <c r="F284"/>
  <c r="I284" s="1"/>
  <c r="I285"/>
  <c r="F744"/>
  <c r="I744" s="1"/>
  <c r="I745"/>
  <c r="F362"/>
  <c r="I362" s="1"/>
  <c r="I363"/>
  <c r="F525"/>
  <c r="I525" s="1"/>
  <c r="I526"/>
  <c r="F421"/>
  <c r="I421" s="1"/>
  <c r="I422"/>
  <c r="F852"/>
  <c r="I853"/>
  <c r="F668"/>
  <c r="I669"/>
  <c r="F874"/>
  <c r="I874" s="1"/>
  <c r="I875"/>
  <c r="F441"/>
  <c r="I441" s="1"/>
  <c r="I442"/>
  <c r="F688"/>
  <c r="I688" s="1"/>
  <c r="I689"/>
  <c r="F146"/>
  <c r="I146" s="1"/>
  <c r="I147"/>
  <c r="F500"/>
  <c r="I501"/>
  <c r="F138"/>
  <c r="I138" s="1"/>
  <c r="I139"/>
  <c r="J208" i="38"/>
  <c r="J487" i="47"/>
  <c r="G107" i="38"/>
  <c r="J107" s="1"/>
  <c r="I569"/>
  <c r="J108"/>
  <c r="G486" i="47"/>
  <c r="I486" s="1"/>
  <c r="J63" i="38"/>
  <c r="J557"/>
  <c r="J644"/>
  <c r="I441"/>
  <c r="G666"/>
  <c r="I666" s="1"/>
  <c r="J672"/>
  <c r="G665"/>
  <c r="I665" s="1"/>
  <c r="G759"/>
  <c r="J759" s="1"/>
  <c r="J147"/>
  <c r="I147"/>
  <c r="I413"/>
  <c r="J413"/>
  <c r="G890"/>
  <c r="J891"/>
  <c r="I891"/>
  <c r="G376"/>
  <c r="G356" s="1"/>
  <c r="I377"/>
  <c r="J377"/>
  <c r="I959"/>
  <c r="J959"/>
  <c r="G958"/>
  <c r="G957"/>
  <c r="I341"/>
  <c r="J341"/>
  <c r="J768"/>
  <c r="I768"/>
  <c r="J87"/>
  <c r="I87"/>
  <c r="G86"/>
  <c r="J547"/>
  <c r="I547"/>
  <c r="I421"/>
  <c r="J421"/>
  <c r="G760"/>
  <c r="J761"/>
  <c r="I761"/>
  <c r="I347"/>
  <c r="J347"/>
  <c r="G155"/>
  <c r="J156"/>
  <c r="I156"/>
  <c r="G154"/>
  <c r="G994"/>
  <c r="I995"/>
  <c r="J995"/>
  <c r="G993"/>
  <c r="I519"/>
  <c r="J519"/>
  <c r="I900"/>
  <c r="J900"/>
  <c r="J841"/>
  <c r="I841"/>
  <c r="J11"/>
  <c r="I11"/>
  <c r="J171"/>
  <c r="I171"/>
  <c r="G872"/>
  <c r="I873"/>
  <c r="J873"/>
  <c r="J132"/>
  <c r="I132"/>
  <c r="G468"/>
  <c r="G411" s="1"/>
  <c r="I469"/>
  <c r="J469"/>
  <c r="G823"/>
  <c r="J824"/>
  <c r="I824"/>
  <c r="G75"/>
  <c r="J76"/>
  <c r="I76"/>
  <c r="J717"/>
  <c r="I717"/>
  <c r="G224"/>
  <c r="J225"/>
  <c r="I225"/>
  <c r="I251"/>
  <c r="J251"/>
  <c r="G541"/>
  <c r="J164"/>
  <c r="I164"/>
  <c r="I921"/>
  <c r="J921"/>
  <c r="G920"/>
  <c r="G137"/>
  <c r="G131" s="1"/>
  <c r="J138"/>
  <c r="I138"/>
  <c r="J216"/>
  <c r="I216"/>
  <c r="I983"/>
  <c r="J983"/>
  <c r="G105"/>
  <c r="J106"/>
  <c r="I106"/>
  <c r="I633"/>
  <c r="J633"/>
  <c r="G631"/>
  <c r="G632"/>
  <c r="I773"/>
  <c r="J773"/>
  <c r="I31"/>
  <c r="J31"/>
  <c r="G17"/>
  <c r="I899"/>
  <c r="J899"/>
  <c r="G280"/>
  <c r="J281"/>
  <c r="I281"/>
  <c r="G499"/>
  <c r="J508"/>
  <c r="I508"/>
  <c r="G498"/>
  <c r="G575"/>
  <c r="J576"/>
  <c r="I576"/>
  <c r="G574"/>
  <c r="J362"/>
  <c r="I362"/>
  <c r="J697"/>
  <c r="I697"/>
  <c r="G695"/>
  <c r="G696"/>
  <c r="J91"/>
  <c r="I91"/>
  <c r="I259"/>
  <c r="J259"/>
  <c r="J246"/>
  <c r="I246"/>
  <c r="G201"/>
  <c r="I202"/>
  <c r="J202"/>
  <c r="I964"/>
  <c r="J964"/>
  <c r="I396"/>
  <c r="J396"/>
  <c r="G170"/>
  <c r="J179"/>
  <c r="I179"/>
  <c r="I937"/>
  <c r="J937"/>
  <c r="G936"/>
  <c r="G935"/>
  <c r="I311"/>
  <c r="J311"/>
  <c r="G301"/>
  <c r="I98"/>
  <c r="J98"/>
  <c r="G814"/>
  <c r="J816"/>
  <c r="I816"/>
  <c r="G815"/>
  <c r="G919"/>
  <c r="G540"/>
  <c r="G240" i="47"/>
  <c r="J241"/>
  <c r="I241"/>
  <c r="G655"/>
  <c r="J656"/>
  <c r="I656"/>
  <c r="G682"/>
  <c r="I688"/>
  <c r="J688"/>
  <c r="I259"/>
  <c r="J259"/>
  <c r="I662"/>
  <c r="J662"/>
  <c r="J56"/>
  <c r="I56"/>
  <c r="G743"/>
  <c r="J744"/>
  <c r="I744"/>
  <c r="G299"/>
  <c r="G258" s="1"/>
  <c r="I305"/>
  <c r="J305"/>
  <c r="G721"/>
  <c r="I722"/>
  <c r="J722"/>
  <c r="G70"/>
  <c r="J71"/>
  <c r="I71"/>
  <c r="G461"/>
  <c r="I462"/>
  <c r="J462"/>
  <c r="I626"/>
  <c r="J626"/>
  <c r="G188"/>
  <c r="I189"/>
  <c r="J189"/>
  <c r="J385"/>
  <c r="I385"/>
  <c r="J284"/>
  <c r="I284"/>
  <c r="I413"/>
  <c r="J413"/>
  <c r="G179"/>
  <c r="I180"/>
  <c r="J180"/>
  <c r="G163"/>
  <c r="I164"/>
  <c r="J164"/>
  <c r="I372"/>
  <c r="J372"/>
  <c r="G139"/>
  <c r="J140"/>
  <c r="I140"/>
  <c r="G102"/>
  <c r="J103"/>
  <c r="I103"/>
  <c r="I46"/>
  <c r="J46"/>
  <c r="G45"/>
  <c r="I362"/>
  <c r="J362"/>
  <c r="G155"/>
  <c r="I156"/>
  <c r="J156"/>
  <c r="I434"/>
  <c r="J434"/>
  <c r="I602"/>
  <c r="J602"/>
  <c r="I319"/>
  <c r="J319"/>
  <c r="J386"/>
  <c r="I386"/>
  <c r="G750"/>
  <c r="J751"/>
  <c r="I751"/>
  <c r="G10"/>
  <c r="I11"/>
  <c r="J11"/>
  <c r="G171"/>
  <c r="I172"/>
  <c r="J172"/>
  <c r="J620"/>
  <c r="I620"/>
  <c r="G18"/>
  <c r="J19"/>
  <c r="I19"/>
  <c r="G727"/>
  <c r="J728"/>
  <c r="I728"/>
  <c r="I455"/>
  <c r="J455"/>
  <c r="J393"/>
  <c r="I393"/>
  <c r="G476"/>
  <c r="I477"/>
  <c r="J477"/>
  <c r="G530"/>
  <c r="I531"/>
  <c r="J531"/>
  <c r="I133"/>
  <c r="J133"/>
  <c r="I515"/>
  <c r="J515"/>
  <c r="G200"/>
  <c r="I201"/>
  <c r="J201"/>
  <c r="I216"/>
  <c r="J216"/>
  <c r="G614"/>
  <c r="G591" s="1"/>
  <c r="J615"/>
  <c r="I615"/>
  <c r="G634"/>
  <c r="I635"/>
  <c r="J635"/>
  <c r="G508"/>
  <c r="J509"/>
  <c r="I509"/>
  <c r="G641"/>
  <c r="J648"/>
  <c r="I648"/>
  <c r="G419"/>
  <c r="J420"/>
  <c r="I420"/>
  <c r="G148"/>
  <c r="J149"/>
  <c r="I149"/>
  <c r="I608"/>
  <c r="J608"/>
  <c r="I449"/>
  <c r="J449"/>
  <c r="I222"/>
  <c r="J222"/>
  <c r="G549"/>
  <c r="J550"/>
  <c r="I550"/>
  <c r="I676"/>
  <c r="J676"/>
  <c r="G208"/>
  <c r="I209"/>
  <c r="J209"/>
  <c r="J695"/>
  <c r="I695"/>
  <c r="G694"/>
  <c r="I592"/>
  <c r="J592"/>
  <c r="I170"/>
  <c r="J170"/>
  <c r="J502"/>
  <c r="I502"/>
  <c r="G524"/>
  <c r="I525"/>
  <c r="J525"/>
  <c r="I564"/>
  <c r="J564"/>
  <c r="G557"/>
  <c r="J570"/>
  <c r="I570"/>
  <c r="I338"/>
  <c r="J338"/>
  <c r="I558"/>
  <c r="J558"/>
  <c r="I228"/>
  <c r="J228"/>
  <c r="G577"/>
  <c r="J578"/>
  <c r="I578"/>
  <c r="I82"/>
  <c r="J82"/>
  <c r="J57"/>
  <c r="I57"/>
  <c r="G715"/>
  <c r="J716"/>
  <c r="I716"/>
  <c r="J737"/>
  <c r="I737"/>
  <c r="I709"/>
  <c r="J709"/>
  <c r="G584"/>
  <c r="I585"/>
  <c r="J585"/>
  <c r="J403"/>
  <c r="I403"/>
  <c r="I126"/>
  <c r="J126"/>
  <c r="G119"/>
  <c r="J242"/>
  <c r="I242"/>
  <c r="J496"/>
  <c r="I496"/>
  <c r="J543"/>
  <c r="I543"/>
  <c r="G536"/>
  <c r="I120"/>
  <c r="J120"/>
  <c r="G215"/>
  <c r="J234"/>
  <c r="I234"/>
  <c r="J701"/>
  <c r="I701"/>
  <c r="G668"/>
  <c r="J669"/>
  <c r="I669"/>
  <c r="I194"/>
  <c r="J194"/>
  <c r="J378"/>
  <c r="I378"/>
  <c r="I72" i="4" l="1"/>
  <c r="J665" i="38"/>
  <c r="I302"/>
  <c r="D16" i="46"/>
  <c r="G16" s="1"/>
  <c r="G17"/>
  <c r="D10"/>
  <c r="G10" s="1"/>
  <c r="I10" i="4"/>
  <c r="F37"/>
  <c r="G46" i="46"/>
  <c r="D45"/>
  <c r="G45" s="1"/>
  <c r="F16" i="4"/>
  <c r="I17"/>
  <c r="D13" i="46"/>
  <c r="G13" s="1"/>
  <c r="I71" i="4"/>
  <c r="F791"/>
  <c r="I800"/>
  <c r="F508"/>
  <c r="I508" s="1"/>
  <c r="I509"/>
  <c r="I170"/>
  <c r="F169"/>
  <c r="F158"/>
  <c r="I158" s="1"/>
  <c r="I159"/>
  <c r="F341"/>
  <c r="I341" s="1"/>
  <c r="I342"/>
  <c r="F340"/>
  <c r="I357"/>
  <c r="F220"/>
  <c r="I221"/>
  <c r="F255"/>
  <c r="I256"/>
  <c r="I668"/>
  <c r="F666"/>
  <c r="F667"/>
  <c r="I667" s="1"/>
  <c r="F606"/>
  <c r="I607"/>
  <c r="F269"/>
  <c r="I270"/>
  <c r="F195"/>
  <c r="I195" s="1"/>
  <c r="I196"/>
  <c r="F194"/>
  <c r="F376"/>
  <c r="I376" s="1"/>
  <c r="I377"/>
  <c r="I548"/>
  <c r="F547"/>
  <c r="I413"/>
  <c r="F283"/>
  <c r="I289"/>
  <c r="I306"/>
  <c r="F305"/>
  <c r="F827"/>
  <c r="I828"/>
  <c r="F731"/>
  <c r="I731" s="1"/>
  <c r="I732"/>
  <c r="F730"/>
  <c r="I500"/>
  <c r="I852"/>
  <c r="F851"/>
  <c r="F230"/>
  <c r="I230" s="1"/>
  <c r="I231"/>
  <c r="F229"/>
  <c r="F468"/>
  <c r="F412" s="1"/>
  <c r="I412" s="1"/>
  <c r="I469"/>
  <c r="I107" i="38"/>
  <c r="J486" i="47"/>
  <c r="I759" i="38"/>
  <c r="J666"/>
  <c r="G412"/>
  <c r="I412" s="1"/>
  <c r="I411"/>
  <c r="J411"/>
  <c r="J936"/>
  <c r="I936"/>
  <c r="I356"/>
  <c r="J356"/>
  <c r="J17"/>
  <c r="I17"/>
  <c r="J131"/>
  <c r="I131"/>
  <c r="J376"/>
  <c r="I376"/>
  <c r="I935"/>
  <c r="J935"/>
  <c r="I575"/>
  <c r="J575"/>
  <c r="J105"/>
  <c r="I105"/>
  <c r="I541"/>
  <c r="J541"/>
  <c r="I919"/>
  <c r="J919"/>
  <c r="G918"/>
  <c r="G813"/>
  <c r="J814"/>
  <c r="I814"/>
  <c r="G169"/>
  <c r="I170"/>
  <c r="J170"/>
  <c r="I695"/>
  <c r="J695"/>
  <c r="G694"/>
  <c r="I499"/>
  <c r="J499"/>
  <c r="J632"/>
  <c r="I632"/>
  <c r="J75"/>
  <c r="I75"/>
  <c r="J872"/>
  <c r="I872"/>
  <c r="J994"/>
  <c r="I994"/>
  <c r="J155"/>
  <c r="I155"/>
  <c r="G355"/>
  <c r="J540"/>
  <c r="I540"/>
  <c r="G300"/>
  <c r="I301"/>
  <c r="J301"/>
  <c r="G200"/>
  <c r="J201"/>
  <c r="I201"/>
  <c r="J696"/>
  <c r="I696"/>
  <c r="J574"/>
  <c r="I574"/>
  <c r="J280"/>
  <c r="I280"/>
  <c r="G223"/>
  <c r="I224"/>
  <c r="J224"/>
  <c r="G822"/>
  <c r="I823"/>
  <c r="J823"/>
  <c r="J920"/>
  <c r="I920"/>
  <c r="J468"/>
  <c r="I468"/>
  <c r="G62"/>
  <c r="J86"/>
  <c r="I86"/>
  <c r="I958"/>
  <c r="J958"/>
  <c r="G889"/>
  <c r="J890"/>
  <c r="I890"/>
  <c r="I815"/>
  <c r="J815"/>
  <c r="I498"/>
  <c r="J498"/>
  <c r="I631"/>
  <c r="J631"/>
  <c r="G630"/>
  <c r="G130"/>
  <c r="J137"/>
  <c r="I137"/>
  <c r="G992"/>
  <c r="J993"/>
  <c r="I993"/>
  <c r="G153"/>
  <c r="I154"/>
  <c r="J154"/>
  <c r="J760"/>
  <c r="I760"/>
  <c r="J957"/>
  <c r="I957"/>
  <c r="G258"/>
  <c r="G590" i="47"/>
  <c r="J591"/>
  <c r="I591"/>
  <c r="G207"/>
  <c r="I215"/>
  <c r="J215"/>
  <c r="J715"/>
  <c r="I715"/>
  <c r="G708"/>
  <c r="G576"/>
  <c r="J577"/>
  <c r="I577"/>
  <c r="I549"/>
  <c r="J549"/>
  <c r="G392"/>
  <c r="J419"/>
  <c r="I419"/>
  <c r="J530"/>
  <c r="I530"/>
  <c r="G749"/>
  <c r="I750"/>
  <c r="J750"/>
  <c r="G187"/>
  <c r="J188"/>
  <c r="I188"/>
  <c r="I70"/>
  <c r="J70"/>
  <c r="G257"/>
  <c r="I258"/>
  <c r="J258"/>
  <c r="J655"/>
  <c r="I655"/>
  <c r="I668"/>
  <c r="J668"/>
  <c r="I536"/>
  <c r="J536"/>
  <c r="I208"/>
  <c r="J208"/>
  <c r="I641"/>
  <c r="J641"/>
  <c r="G640"/>
  <c r="I476"/>
  <c r="J476"/>
  <c r="I155"/>
  <c r="J155"/>
  <c r="G101"/>
  <c r="J102"/>
  <c r="I102"/>
  <c r="G162"/>
  <c r="J163"/>
  <c r="I163"/>
  <c r="J721"/>
  <c r="I721"/>
  <c r="I240"/>
  <c r="J240"/>
  <c r="J119"/>
  <c r="I119"/>
  <c r="J524"/>
  <c r="I524"/>
  <c r="G523"/>
  <c r="G693"/>
  <c r="I694"/>
  <c r="J694"/>
  <c r="J508"/>
  <c r="I508"/>
  <c r="J727"/>
  <c r="I727"/>
  <c r="J171"/>
  <c r="I171"/>
  <c r="I45"/>
  <c r="J45"/>
  <c r="G132"/>
  <c r="G118" s="1"/>
  <c r="J139"/>
  <c r="I139"/>
  <c r="G178"/>
  <c r="J179"/>
  <c r="I179"/>
  <c r="I299"/>
  <c r="J299"/>
  <c r="I584"/>
  <c r="J584"/>
  <c r="G556"/>
  <c r="I557"/>
  <c r="J557"/>
  <c r="I148"/>
  <c r="J148"/>
  <c r="G633"/>
  <c r="I634"/>
  <c r="J634"/>
  <c r="I200"/>
  <c r="J200"/>
  <c r="G17"/>
  <c r="I18"/>
  <c r="J18"/>
  <c r="G9"/>
  <c r="I10"/>
  <c r="J10"/>
  <c r="I461"/>
  <c r="J461"/>
  <c r="G736"/>
  <c r="J743"/>
  <c r="I743"/>
  <c r="G675"/>
  <c r="J682"/>
  <c r="I682"/>
  <c r="G69"/>
  <c r="I614"/>
  <c r="J614"/>
  <c r="F499" i="4" l="1"/>
  <c r="I499" s="1"/>
  <c r="I37"/>
  <c r="D12" i="46"/>
  <c r="G12" s="1"/>
  <c r="I16" i="4"/>
  <c r="D11" i="46"/>
  <c r="G11" s="1"/>
  <c r="F249" i="4"/>
  <c r="I255"/>
  <c r="F790"/>
  <c r="I791"/>
  <c r="F304"/>
  <c r="I305"/>
  <c r="F605"/>
  <c r="I605" s="1"/>
  <c r="I606"/>
  <c r="F604"/>
  <c r="F137"/>
  <c r="I169"/>
  <c r="F498"/>
  <c r="F356"/>
  <c r="I356" s="1"/>
  <c r="D22" i="46"/>
  <c r="G22" s="1"/>
  <c r="I229" i="4"/>
  <c r="D38" i="46"/>
  <c r="G38" s="1"/>
  <c r="I730" i="4"/>
  <c r="I827"/>
  <c r="F826"/>
  <c r="F282"/>
  <c r="I283"/>
  <c r="F219"/>
  <c r="I220"/>
  <c r="D29" i="46"/>
  <c r="I340" i="4"/>
  <c r="F339"/>
  <c r="I339" s="1"/>
  <c r="F411"/>
  <c r="I468"/>
  <c r="F850"/>
  <c r="I851"/>
  <c r="F546"/>
  <c r="I547"/>
  <c r="F193"/>
  <c r="I193" s="1"/>
  <c r="I194"/>
  <c r="D19" i="46"/>
  <c r="F268" i="4"/>
  <c r="I269"/>
  <c r="D37" i="46"/>
  <c r="I666" i="4"/>
  <c r="F665"/>
  <c r="I665" s="1"/>
  <c r="F355"/>
  <c r="J412" i="38"/>
  <c r="J153"/>
  <c r="I153"/>
  <c r="G888"/>
  <c r="I889"/>
  <c r="J889"/>
  <c r="G199"/>
  <c r="I200"/>
  <c r="J200"/>
  <c r="I169"/>
  <c r="J169"/>
  <c r="I992"/>
  <c r="J992"/>
  <c r="I630"/>
  <c r="J630"/>
  <c r="I223"/>
  <c r="J223"/>
  <c r="G299"/>
  <c r="J300"/>
  <c r="I300"/>
  <c r="J694"/>
  <c r="I694"/>
  <c r="J813"/>
  <c r="I813"/>
  <c r="G129"/>
  <c r="J130"/>
  <c r="I130"/>
  <c r="I355"/>
  <c r="J355"/>
  <c r="G354"/>
  <c r="G821"/>
  <c r="J822"/>
  <c r="I822"/>
  <c r="I918"/>
  <c r="J918"/>
  <c r="G257"/>
  <c r="J258"/>
  <c r="I258"/>
  <c r="G51"/>
  <c r="I62"/>
  <c r="J62"/>
  <c r="J675" i="47"/>
  <c r="I675"/>
  <c r="J9"/>
  <c r="I9"/>
  <c r="G632"/>
  <c r="J633"/>
  <c r="I633"/>
  <c r="I178"/>
  <c r="J178"/>
  <c r="G707"/>
  <c r="I708"/>
  <c r="J708"/>
  <c r="I590"/>
  <c r="J590"/>
  <c r="G735"/>
  <c r="J736"/>
  <c r="I736"/>
  <c r="J17"/>
  <c r="I17"/>
  <c r="I132"/>
  <c r="J132"/>
  <c r="G522"/>
  <c r="I523"/>
  <c r="J523"/>
  <c r="I162"/>
  <c r="J162"/>
  <c r="J640"/>
  <c r="I640"/>
  <c r="I576"/>
  <c r="J576"/>
  <c r="J693"/>
  <c r="I693"/>
  <c r="I118"/>
  <c r="J118"/>
  <c r="J101"/>
  <c r="I101"/>
  <c r="G186"/>
  <c r="J187"/>
  <c r="I187"/>
  <c r="J392"/>
  <c r="I392"/>
  <c r="G384"/>
  <c r="I69"/>
  <c r="J69"/>
  <c r="I556"/>
  <c r="J556"/>
  <c r="I257"/>
  <c r="J257"/>
  <c r="I749"/>
  <c r="J749"/>
  <c r="J207"/>
  <c r="I207"/>
  <c r="G654"/>
  <c r="D31" i="46" l="1"/>
  <c r="I355" i="4"/>
  <c r="F354"/>
  <c r="I354" s="1"/>
  <c r="D44" i="46"/>
  <c r="I850" i="4"/>
  <c r="F849"/>
  <c r="I849" s="1"/>
  <c r="D35" i="46"/>
  <c r="G35" s="1"/>
  <c r="I604" i="4"/>
  <c r="D27" i="46"/>
  <c r="G27" s="1"/>
  <c r="I304" i="4"/>
  <c r="F248"/>
  <c r="I249"/>
  <c r="G37" i="46"/>
  <c r="D36"/>
  <c r="G36" s="1"/>
  <c r="F218" i="4"/>
  <c r="I219"/>
  <c r="I137"/>
  <c r="F101"/>
  <c r="G19" i="46"/>
  <c r="D18"/>
  <c r="G18" s="1"/>
  <c r="D34"/>
  <c r="G34" s="1"/>
  <c r="I546" i="4"/>
  <c r="D32" i="46"/>
  <c r="G32" s="1"/>
  <c r="I411" i="4"/>
  <c r="F825"/>
  <c r="F784" s="1"/>
  <c r="I784" s="1"/>
  <c r="I826"/>
  <c r="I790"/>
  <c r="D41" i="46"/>
  <c r="F267" i="4"/>
  <c r="I268"/>
  <c r="D28" i="46"/>
  <c r="G28" s="1"/>
  <c r="G29"/>
  <c r="I282" i="4"/>
  <c r="D26" i="46"/>
  <c r="G26" s="1"/>
  <c r="D33"/>
  <c r="G33" s="1"/>
  <c r="I498" i="4"/>
  <c r="I257" i="38"/>
  <c r="J257"/>
  <c r="J129"/>
  <c r="I129"/>
  <c r="I199"/>
  <c r="J199"/>
  <c r="G353"/>
  <c r="J354"/>
  <c r="I354"/>
  <c r="J299"/>
  <c r="I299"/>
  <c r="J888"/>
  <c r="I888"/>
  <c r="G887"/>
  <c r="G163"/>
  <c r="G10"/>
  <c r="I51"/>
  <c r="J51"/>
  <c r="I821"/>
  <c r="J821"/>
  <c r="G629"/>
  <c r="L630" s="1"/>
  <c r="J654" i="47"/>
  <c r="I654"/>
  <c r="I186"/>
  <c r="J186"/>
  <c r="I632"/>
  <c r="J632"/>
  <c r="G757"/>
  <c r="I384"/>
  <c r="J384"/>
  <c r="J522"/>
  <c r="I522"/>
  <c r="I707"/>
  <c r="J707"/>
  <c r="I735"/>
  <c r="J735"/>
  <c r="N630" i="38" l="1"/>
  <c r="O630"/>
  <c r="D42" i="46"/>
  <c r="G42" s="1"/>
  <c r="I825" i="4"/>
  <c r="G31" i="46"/>
  <c r="D30"/>
  <c r="G30" s="1"/>
  <c r="I218" i="4"/>
  <c r="D21" i="46"/>
  <c r="F217" i="4"/>
  <c r="I217" s="1"/>
  <c r="D23" i="46"/>
  <c r="G23" s="1"/>
  <c r="I248" i="4"/>
  <c r="F266"/>
  <c r="I267"/>
  <c r="D15" i="46"/>
  <c r="I101" i="4"/>
  <c r="F9"/>
  <c r="G41" i="46"/>
  <c r="G44"/>
  <c r="D43"/>
  <c r="G43" s="1"/>
  <c r="J10" i="38"/>
  <c r="I10"/>
  <c r="G9"/>
  <c r="I629"/>
  <c r="J629"/>
  <c r="I887"/>
  <c r="J887"/>
  <c r="G871"/>
  <c r="L872" s="1"/>
  <c r="I163"/>
  <c r="J163"/>
  <c r="I353"/>
  <c r="J353"/>
  <c r="I757" i="47"/>
  <c r="J757"/>
  <c r="F911" i="4" l="1"/>
  <c r="I911" s="1"/>
  <c r="I9"/>
  <c r="G21" i="46"/>
  <c r="D20"/>
  <c r="G20" s="1"/>
  <c r="I266" i="4"/>
  <c r="F265"/>
  <c r="I265" s="1"/>
  <c r="D25" i="46"/>
  <c r="G15"/>
  <c r="D9"/>
  <c r="D39"/>
  <c r="G39" s="1"/>
  <c r="I871" i="38"/>
  <c r="J871"/>
  <c r="J9"/>
  <c r="I9"/>
  <c r="G1007"/>
  <c r="G9" i="46" l="1"/>
  <c r="G25"/>
  <c r="D24"/>
  <c r="G24" s="1"/>
  <c r="I1007" i="38"/>
  <c r="J1007"/>
  <c r="D49" i="46" l="1"/>
  <c r="C31" i="40" s="1"/>
  <c r="C30" l="1"/>
  <c r="E31"/>
  <c r="F31"/>
  <c r="G49" i="46"/>
  <c r="C29" i="40" l="1"/>
  <c r="E30"/>
  <c r="F30"/>
  <c r="C28" l="1"/>
  <c r="E29"/>
  <c r="F29"/>
  <c r="C23" l="1"/>
  <c r="F28"/>
  <c r="E28"/>
  <c r="C9" l="1"/>
  <c r="F23"/>
  <c r="E23"/>
  <c r="E9" l="1"/>
  <c r="F9"/>
</calcChain>
</file>

<file path=xl/sharedStrings.xml><?xml version="1.0" encoding="utf-8"?>
<sst xmlns="http://schemas.openxmlformats.org/spreadsheetml/2006/main" count="11033" uniqueCount="777">
  <si>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</si>
  <si>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</si>
  <si>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</si>
  <si>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</si>
  <si>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</si>
  <si>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</si>
  <si>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</si>
  <si>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</si>
  <si>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</si>
  <si>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</si>
  <si>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</si>
  <si>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</si>
  <si>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</si>
  <si>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</si>
  <si>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</si>
  <si>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</si>
  <si>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</si>
  <si>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</si>
  <si>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</si>
  <si>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</si>
  <si>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</si>
  <si>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</si>
  <si>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</si>
  <si>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</si>
  <si>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</si>
  <si>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</si>
  <si>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</si>
  <si>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</si>
  <si>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</si>
  <si>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</si>
  <si>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</si>
  <si>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</si>
  <si>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</si>
  <si>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</si>
  <si>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</si>
  <si>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</si>
  <si>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</si>
  <si>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</si>
  <si>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</si>
  <si>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</si>
  <si>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</si>
  <si>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</si>
  <si>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</si>
  <si>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</si>
  <si>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</si>
  <si>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</si>
  <si>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</si>
  <si>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</si>
  <si>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</si>
  <si>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</si>
  <si>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</si>
  <si>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</si>
  <si>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</si>
  <si>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</si>
  <si>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</si>
  <si>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</si>
  <si>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</si>
  <si>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</si>
  <si>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</si>
  <si>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</si>
  <si>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</si>
  <si>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</si>
  <si>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</si>
  <si>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</si>
  <si>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</si>
  <si>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</si>
  <si>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</si>
  <si>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</si>
  <si>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</si>
  <si>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</si>
  <si>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</si>
  <si>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</si>
  <si>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</si>
  <si>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</si>
  <si>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</si>
  <si>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</si>
  <si>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</si>
  <si>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</si>
  <si>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</si>
  <si>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</si>
  <si>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</si>
  <si>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</si>
  <si>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</si>
  <si>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</si>
  <si>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</si>
  <si>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</si>
  <si>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</si>
  <si>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</si>
  <si>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</si>
  <si>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</si>
  <si>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</si>
  <si>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</si>
  <si>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</si>
  <si>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</si>
  <si>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</si>
  <si>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</si>
  <si>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</si>
  <si>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бюджетным учреждениям</t>
  </si>
  <si>
    <t>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</si>
  <si>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</si>
  <si>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</si>
  <si>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</si>
  <si>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</si>
  <si>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</si>
  <si>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</si>
  <si>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</si>
  <si>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</si>
  <si>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</si>
  <si>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</si>
  <si>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</si>
  <si>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</si>
  <si>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</si>
  <si>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</si>
  <si>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</si>
  <si>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</si>
  <si>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</si>
  <si>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</si>
  <si>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</si>
  <si>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</si>
  <si>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</si>
  <si>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</si>
  <si>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</si>
  <si>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</si>
  <si>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</si>
  <si>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</si>
  <si>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</si>
  <si>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</si>
  <si>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</si>
  <si>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</si>
  <si>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</si>
  <si>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</si>
  <si>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</si>
  <si>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</si>
  <si>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</si>
  <si>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</si>
  <si>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</si>
  <si>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</si>
  <si>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</si>
  <si>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</si>
  <si>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</si>
  <si>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</si>
  <si>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</si>
  <si>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</si>
  <si>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</si>
  <si>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</si>
  <si>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</si>
  <si>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</si>
  <si>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</si>
  <si>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</si>
  <si>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</si>
  <si>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</si>
  <si>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</si>
  <si>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</si>
  <si>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</si>
  <si>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</si>
  <si>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</si>
  <si>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</si>
  <si>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</si>
  <si>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</si>
  <si>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</si>
  <si>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</si>
  <si>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</si>
  <si>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</si>
  <si>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</si>
  <si>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</si>
  <si>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</si>
  <si>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</si>
  <si>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</si>
  <si>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</si>
  <si>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</si>
  <si>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</si>
  <si>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</si>
  <si>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</si>
  <si>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</si>
  <si>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</si>
  <si>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</si>
  <si>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</si>
  <si>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</si>
  <si>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</si>
  <si>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</si>
  <si>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</si>
  <si>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</si>
  <si>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</si>
  <si>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</si>
  <si>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</si>
  <si>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</si>
  <si>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</si>
  <si>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</si>
  <si>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</si>
  <si>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</si>
  <si>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</si>
  <si>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</si>
  <si>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</si>
  <si>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</si>
  <si>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</si>
  <si>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</si>
  <si>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</si>
  <si>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</si>
  <si>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</si>
  <si>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</si>
  <si>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</si>
  <si>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</si>
  <si>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</si>
  <si>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</si>
  <si>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</si>
  <si>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</si>
  <si>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</si>
  <si>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110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</si>
  <si>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</si>
  <si>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</si>
  <si>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</si>
  <si>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</si>
  <si>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</si>
  <si>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</si>
  <si>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</si>
  <si>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</si>
  <si>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</si>
  <si>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</si>
  <si>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</si>
  <si>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</si>
  <si>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</si>
  <si>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</si>
  <si>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</si>
  <si>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</si>
  <si>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</si>
  <si>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</si>
  <si>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</si>
  <si>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</si>
  <si>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</si>
  <si>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</si>
  <si>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</si>
  <si>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</si>
  <si>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</si>
  <si>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</si>
  <si>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</si>
  <si>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</si>
  <si>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</si>
  <si>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</si>
  <si>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</si>
  <si>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</si>
  <si>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</si>
  <si>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</si>
  <si>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</si>
  <si>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</si>
  <si>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</si>
  <si>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</si>
  <si>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</si>
  <si>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</si>
  <si>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</si>
  <si>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</si>
  <si>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</si>
  <si>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</si>
  <si>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</si>
  <si>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</si>
  <si>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</si>
  <si>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</si>
  <si>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</si>
  <si>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</si>
  <si>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</si>
  <si>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</si>
  <si>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</si>
  <si>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</si>
  <si>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</si>
  <si>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</si>
  <si>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</si>
  <si>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</si>
  <si>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</si>
  <si>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</si>
  <si>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</si>
  <si>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</si>
  <si>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</si>
  <si>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</si>
  <si>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</si>
  <si>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</si>
  <si>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</si>
  <si>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</si>
  <si>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</si>
  <si>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</si>
  <si>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</si>
  <si>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</si>
  <si>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</si>
  <si>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</si>
  <si>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</si>
  <si>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</si>
  <si>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</si>
  <si>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</si>
  <si>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</si>
  <si>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</si>
  <si>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</si>
  <si>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</si>
  <si>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</si>
  <si>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</si>
  <si>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Другие вопросы в области охраны окружающей среды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</si>
  <si>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</si>
  <si>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</si>
  <si>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</si>
  <si>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</si>
  <si>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</si>
  <si>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</si>
  <si>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</si>
  <si>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</si>
  <si>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</si>
  <si>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</si>
  <si>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</si>
  <si>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</si>
  <si>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</si>
  <si>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</si>
  <si>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</si>
  <si>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</si>
  <si>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</si>
  <si>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</si>
  <si>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</si>
  <si>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</si>
  <si>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</si>
  <si>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</si>
  <si>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</si>
  <si>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</si>
  <si>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</si>
  <si>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</si>
  <si>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</si>
  <si>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</si>
  <si>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</si>
  <si>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</si>
  <si>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</si>
  <si>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</si>
  <si>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</si>
  <si>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7Г 0 01 96610 </t>
  </si>
  <si>
    <t>7Z 0 00 00000</t>
  </si>
  <si>
    <t>7Z 0 01 00000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</si>
  <si>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</si>
  <si>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</si>
  <si>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</si>
  <si>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</si>
  <si>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</si>
  <si>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</si>
  <si>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</si>
  <si>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</si>
  <si>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</si>
  <si>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</si>
  <si>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</si>
  <si>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</si>
  <si>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</si>
  <si>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</si>
  <si>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</si>
  <si>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</si>
  <si>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</si>
  <si>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</si>
  <si>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Р5 0 00 00000</t>
  </si>
  <si>
    <t>Приложение № 5</t>
  </si>
  <si>
    <t xml:space="preserve">Общее образование  </t>
  </si>
  <si>
    <t>7Д 0 01 92210</t>
  </si>
  <si>
    <t>ОХРАНА ОКРУЖАЮЩЕЙ СРЕДЫ</t>
  </si>
  <si>
    <t>7N 0 00 00000</t>
  </si>
  <si>
    <t>7N 0 01 00000</t>
  </si>
  <si>
    <t>7W 0 00 00000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</si>
  <si>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</si>
  <si>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</si>
  <si>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</si>
  <si>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Сумма</t>
  </si>
  <si>
    <t>Основное мероприятие "Управление развитием отрасли образования"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</si>
  <si>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</si>
  <si>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</si>
  <si>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</si>
  <si>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</si>
  <si>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Приобретение литературно- художественных изданий за счет средств местного бюджета</t>
  </si>
  <si>
    <t xml:space="preserve">Организация отдыха и оздоровления детей в лагерях дневного пребывания </t>
  </si>
  <si>
    <t>Материально- техническое и методологическое обеспечение в сфере молодежной политики</t>
  </si>
  <si>
    <t xml:space="preserve">7М 0 01 92530 </t>
  </si>
  <si>
    <t>Мероприятия по организации и проведению областных универсальных совместных ярмарок за счет средств местного бюджета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</si>
  <si>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</si>
  <si>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</si>
  <si>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</si>
  <si>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</si>
  <si>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</si>
  <si>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</si>
  <si>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</si>
  <si>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</si>
  <si>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</si>
  <si>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</si>
  <si>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</si>
  <si>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</si>
  <si>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</si>
  <si>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</si>
  <si>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</si>
  <si>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</si>
  <si>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</si>
  <si>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</si>
  <si>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</si>
  <si>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</si>
  <si>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</si>
  <si>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</si>
  <si>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</si>
  <si>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</si>
  <si>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Основное мероприятие "Проведение реконструкции, ремонта или замены оборудования на объектах коммунальной инфраструктуры"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</si>
  <si>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</si>
  <si>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</si>
  <si>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</si>
  <si>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</si>
  <si>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</si>
  <si>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</si>
  <si>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</si>
  <si>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</si>
  <si>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</si>
  <si>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</si>
  <si>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</si>
  <si>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</si>
  <si>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</si>
  <si>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</si>
  <si>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</si>
  <si>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</si>
  <si>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</si>
  <si>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</si>
  <si>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</si>
  <si>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</si>
  <si>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</si>
  <si>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</si>
  <si>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</si>
  <si>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</si>
  <si>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</si>
  <si>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</si>
  <si>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</si>
  <si>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</si>
  <si>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</si>
  <si>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</si>
  <si>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</si>
  <si>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</si>
  <si>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</si>
  <si>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</si>
  <si>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</si>
  <si>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</si>
  <si>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</si>
  <si>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</si>
  <si>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</si>
  <si>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</si>
  <si>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</si>
  <si>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</si>
  <si>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</si>
  <si>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</si>
  <si>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</si>
  <si>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</si>
  <si>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</si>
  <si>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</si>
  <si>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</si>
  <si>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</si>
  <si>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</si>
  <si>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</si>
  <si>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</si>
  <si>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</si>
  <si>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</si>
  <si>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</si>
  <si>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</si>
  <si>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</si>
  <si>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</si>
  <si>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</si>
  <si>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</si>
  <si>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</si>
  <si>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</si>
  <si>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</si>
  <si>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</si>
  <si>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</si>
  <si>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</si>
  <si>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</si>
  <si>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</si>
  <si>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</si>
  <si>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</si>
  <si>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</si>
  <si>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</si>
  <si>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</si>
  <si>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</si>
  <si>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</si>
  <si>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</si>
  <si>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</si>
  <si>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</si>
  <si>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</si>
  <si>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</si>
  <si>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</si>
  <si>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</si>
  <si>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</si>
  <si>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</si>
  <si>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</si>
  <si>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</si>
  <si>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</si>
  <si>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</si>
  <si>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</si>
  <si>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</si>
  <si>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</si>
  <si>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</si>
  <si>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</si>
  <si>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</si>
  <si>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</si>
  <si>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</si>
  <si>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</si>
  <si>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</si>
  <si>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</si>
  <si>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</si>
  <si>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</si>
  <si>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</si>
  <si>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</si>
  <si>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</si>
  <si>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</si>
  <si>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</si>
  <si>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</si>
  <si>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</si>
  <si>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</si>
  <si>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</si>
  <si>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</si>
  <si>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</si>
  <si>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</si>
  <si>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</si>
  <si>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</si>
  <si>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</si>
  <si>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</si>
  <si>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</si>
  <si>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</si>
  <si>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</si>
  <si>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</si>
  <si>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</si>
  <si>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</si>
  <si>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</si>
  <si>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</si>
  <si>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</si>
  <si>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</si>
  <si>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</si>
  <si>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</si>
  <si>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</si>
  <si>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</si>
  <si>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</si>
  <si>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</si>
  <si>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</si>
  <si>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</si>
  <si>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</si>
  <si>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</si>
  <si>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</si>
  <si>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</si>
  <si>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</si>
  <si>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</si>
  <si>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</si>
  <si>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</si>
  <si>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</si>
  <si>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</si>
  <si>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</si>
  <si>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</si>
  <si>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</si>
  <si>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</si>
  <si>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</si>
  <si>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</si>
  <si>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</si>
  <si>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</si>
  <si>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</si>
  <si>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</si>
  <si>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</si>
  <si>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Предоставление льготы по оплате жилищно- коммунальных услуг</t>
  </si>
  <si>
    <t>7В 0 02 91410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</si>
  <si>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</si>
  <si>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</si>
  <si>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</si>
  <si>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</si>
  <si>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</si>
  <si>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Иные закупки товаров, работ и услуг для обеспечения государственных (муниципальных )нужд</t>
  </si>
  <si>
    <t>Обслуживание государственного (муниципального) долга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</si>
  <si>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</si>
  <si>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</si>
  <si>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</si>
  <si>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</si>
  <si>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</si>
  <si>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7Р 0 02 S3С20</t>
  </si>
  <si>
    <t xml:space="preserve">Финансовая поддержка субъектов малого и среднего предпринимательства </t>
  </si>
  <si>
    <t xml:space="preserve">7И 0 01 93360 </t>
  </si>
  <si>
    <t>7Z 0 01 92010</t>
  </si>
  <si>
    <t>Мероприятия по благоустройству территории Сусуманского городского округа</t>
  </si>
  <si>
    <t>Выплата доплаты к пенсии</t>
  </si>
  <si>
    <t>Р5 0 00 08621</t>
  </si>
  <si>
    <t>Приложение № 6</t>
  </si>
  <si>
    <t>Прочие мероприятия по благоустройству</t>
  </si>
  <si>
    <t>К2 0 00 08640</t>
  </si>
  <si>
    <t>Приобретение, изготовление баннеров и иной наглядной продукции антитеррористической направленности</t>
  </si>
  <si>
    <t xml:space="preserve">7Т 0 05 95160 </t>
  </si>
  <si>
    <t xml:space="preserve"> </t>
  </si>
  <si>
    <t xml:space="preserve">7Щ 0 00 00000 </t>
  </si>
  <si>
    <t xml:space="preserve">7Щ 0 01 00000 </t>
  </si>
  <si>
    <t>7Щ 0 01 R5110</t>
  </si>
  <si>
    <t>Проведение комплексных кадастровых работ за счет средств областного бюджета</t>
  </si>
  <si>
    <t>Основное мероприятие "Проведение на территории Сусуманского городского округа комплексных кадастровых работ"</t>
  </si>
  <si>
    <t>Основное мероприятие "Улучшение жилищных условий молодых семей"</t>
  </si>
  <si>
    <t>Дополнительная социальная выплата молодым семьям при рождении (усыновлении) каждого ребенка</t>
  </si>
  <si>
    <t>7Ж 0 01 73070</t>
  </si>
  <si>
    <t>Основное мероприятие "Разработка декларации безопасности (включая государственную экспертизу)"</t>
  </si>
  <si>
    <t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t>
  </si>
  <si>
    <t>7А 0 00 00000</t>
  </si>
  <si>
    <t>7А 0 01 00000</t>
  </si>
  <si>
    <t>7А 0 01 93340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</si>
  <si>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</si>
  <si>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 98100</t>
  </si>
  <si>
    <t xml:space="preserve">Мероприятия в области охраны окружающей среды </t>
  </si>
  <si>
    <t>К4 0 00 00000</t>
  </si>
  <si>
    <t>Прочие мероприятия в области охраны окружающей среды</t>
  </si>
  <si>
    <t>К4 0 00 08660</t>
  </si>
  <si>
    <t>Исполнение судебных актов</t>
  </si>
  <si>
    <t xml:space="preserve">7Ф 0 01 75010 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</si>
  <si>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</si>
  <si>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Основное мероприятие  "Финансовая поддержка организациям коммунального комплекса"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</si>
  <si>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</si>
  <si>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7Р 0 04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</si>
  <si>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</si>
  <si>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</si>
  <si>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</si>
  <si>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</si>
  <si>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</si>
  <si>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 xml:space="preserve">7Р 0 04 00000 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</si>
  <si>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</si>
  <si>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Основное мероприятие "Разработка проектно-сметной документации (в том числе проведение инженерных изысканий) по объектам размещения отходов»"</t>
  </si>
  <si>
    <t>7W 0 02 00000</t>
  </si>
  <si>
    <t>7W 0 02 73710</t>
  </si>
  <si>
    <t>7W 0 02 S3710</t>
  </si>
  <si>
    <t>Основное мероприятие "Содержание автомобильных дорог общего пользования местного значения"</t>
  </si>
  <si>
    <t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t>
  </si>
  <si>
    <t xml:space="preserve">7Л 0 02 92300 </t>
  </si>
  <si>
    <t xml:space="preserve">7Л 0 02 00000 </t>
  </si>
  <si>
    <t>Основное мероприятие "Развитие кадрового потенциала"</t>
  </si>
  <si>
    <t>7Р 0 06 00000</t>
  </si>
  <si>
    <t>7Р 0 06 91510</t>
  </si>
  <si>
    <t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t>
  </si>
  <si>
    <t>7D 0 01 95450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</si>
  <si>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</si>
  <si>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 98200</t>
  </si>
  <si>
    <t xml:space="preserve">7Г 0 F3 00000 </t>
  </si>
  <si>
    <t>Обеспечение мероприятий по переселению граждан из аварийного жилищного фонда за счет средств субъекта Российской Федерации</t>
  </si>
  <si>
    <t>Расселение жителей из аварийного многоквартирного дома, расположенного по адресу: ул.Строителей, д.17,г.Сусуман, Сусуманский городской округ</t>
  </si>
  <si>
    <t>К2 0 00 50100</t>
  </si>
  <si>
    <t>Приложение № 4</t>
  </si>
  <si>
    <t>Мероприятия в области предупреждения и ликвидации последствий чрезвычайных ситуаций и области гражданской обороны.</t>
  </si>
  <si>
    <t>Ч2 0 00 00000</t>
  </si>
  <si>
    <t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t>
  </si>
  <si>
    <t>Ч2 0 00 08200</t>
  </si>
  <si>
    <t>Предупреждение и ликвидация последствий чрезвычайной ситуации на территории Сусуманского городского округа за счет средств местного бюджета</t>
  </si>
  <si>
    <t>Ч2 0 00 08300</t>
  </si>
  <si>
    <t>7Р 0 04 74100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</si>
  <si>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 в 2019 году</t>
  </si>
  <si>
    <t>Р1 8 00 00000</t>
  </si>
  <si>
    <t>Р1 8 00 74190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</si>
  <si>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t>
  </si>
  <si>
    <t>7Г 0 F3 67483</t>
  </si>
  <si>
    <t>7Г 0 F3 67484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</si>
  <si>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</si>
  <si>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</si>
  <si>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к решению Собрания представителей Сусуманского городского округа</t>
  </si>
  <si>
    <t>тыс.рублей</t>
  </si>
  <si>
    <t>ЦСТ</t>
  </si>
  <si>
    <t>Вед.</t>
  </si>
  <si>
    <t>Социальная политика</t>
  </si>
  <si>
    <t xml:space="preserve">Пенсионное обеспечение </t>
  </si>
  <si>
    <t>Приложение № 7</t>
  </si>
  <si>
    <t>Развитие творческого и профессионального потенциала педагогических работников образовательных учреждений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</si>
  <si>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t>
  </si>
  <si>
    <t>Основное мероприятие "Сохранение культурного наследия и творческого потенциала"</t>
  </si>
  <si>
    <t>Основное мероприятие "Организация проведения областных универсальных совместных ярмарок товаров"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</si>
  <si>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</si>
  <si>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внутреннего и муниципального долга</t>
  </si>
  <si>
    <t>Оказание  ритуальных услуг на территории Сусуманского городского округа</t>
  </si>
  <si>
    <t>Прочие мероприятия в области коммунального хозяйства</t>
  </si>
  <si>
    <t>К1 0 00 08050</t>
  </si>
  <si>
    <t>Приобретение пешеходных ограждений</t>
  </si>
  <si>
    <t>7D 0 01 95420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</si>
  <si>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2018- 2022 годы"</t>
  </si>
  <si>
    <t>Муниципальная программа "Патриотическое воспитание  жителей Сусуманского городского округа  на 2018- 2022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</si>
  <si>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t>
  </si>
  <si>
    <t>Муниципальная  программа "Одарённые дети  на 2018- 2022 годы"</t>
  </si>
  <si>
    <t>Муниципальная программа "Развитие культуры в Сусуманском городском округе на 2018- 2022 годы"</t>
  </si>
  <si>
    <t>Муниципальная программа "Обеспечение жильем молодых семей  в Сусуманском городском округе  на 2018- 2022 годы"</t>
  </si>
  <si>
    <t>Муниципальная программа  "Развитие малого и среднего предпринимательства в Сусуманском городском округе  на 2018- 2022 годы"</t>
  </si>
  <si>
    <t>Муниципальная программа "Лето-детям  на 2018- 2022 годы"</t>
  </si>
  <si>
    <t>Муниципальная программа  "Развитие молодежной политики в Сусуманском городском округе  на 2018-2022 годы"</t>
  </si>
  <si>
    <t>Муниципальная программа "Развитие торговли  на территории Сусуманского городского округа на 2018- 2022 годы"</t>
  </si>
  <si>
    <t>Муниципальная программа  "Пожарная безопасность в Сусуманском городском округе на 2018- 2022 годы"</t>
  </si>
  <si>
    <t>Муниципальная  программа  "Развитие образования в Сусуманском городском округе  на 2018- 2022 годы"</t>
  </si>
  <si>
    <t>Муниципальная программа "Профилактика правонарушений и борьба с преступностью на территории Сусуманского городского округа  на 2018- 2022 годы"</t>
  </si>
  <si>
    <t>Муниципальная программа "Развитие физической культуры и спорта в Сусуманском городском округе на 2018- 2022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</si>
  <si>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t>
  </si>
  <si>
    <t>Муниципальная программа "Финансовая поддержка организациям коммунального комплекса Сусуманского городского округа на 2018- 2022 годы"</t>
  </si>
  <si>
    <t>Муниципальная программа "Повышение безопасности дорожного движения на территории Сусуманского городского округа на 2018- 2022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</si>
  <si>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t>
  </si>
  <si>
    <t>Муниципальная программа "Комплексное развитие систем коммунальной инфраструктуры Сусуманского городского округа на 2018- 2022 годы"</t>
  </si>
  <si>
    <t>Муниципальная программа "Развитие муниципальной службы в муниципальном образовании  "Сусуманский городской округ" на 2018- 2022 годы"</t>
  </si>
  <si>
    <t>Муниципальная программа "Содержание автомобильных дорог общего пользования местного значения Сусуманского городского округа на 2018- 2022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</si>
  <si>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t>
  </si>
  <si>
    <t>Муниципальная программа "Благоустройство Сусуманского городского округа на 2018- 2022 годы"</t>
  </si>
  <si>
    <t>Муниципальная  программа  "Здоровье обучающихся и воспитанников в Сусуманском городском округе  на 2018- 2022 годы"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</si>
  <si>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</si>
  <si>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Р2 4 00 55500</t>
  </si>
  <si>
    <t xml:space="preserve"> М2 0 00 00491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</si>
  <si>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t>
  </si>
  <si>
    <t>Основное мероприятие "Создание временных дополнительных рабочих мест для трудоустройства несовершеннолетних в летний период"</t>
  </si>
  <si>
    <t>Муниципальная программа "Управление муниципальным имуществом Сусуманского городского округа на 2018-2021 годы"</t>
  </si>
  <si>
    <t>Муниципальная программа "Развитие водохозяйственного комплекса Сусуманского городского округа на 2018-2022 год"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</si>
  <si>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</si>
  <si>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t>
  </si>
  <si>
    <t>Приложение № 8</t>
  </si>
  <si>
    <t>Исполнено</t>
  </si>
  <si>
    <t>Отклонение</t>
  </si>
  <si>
    <t>% исполнения</t>
  </si>
  <si>
    <t>% исполне-ния</t>
  </si>
  <si>
    <t>Приложение № 2</t>
  </si>
  <si>
    <t>"Об исполнении бюджета муниципального образования "Сусуманский городской округ" за 2019 год"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</si>
  <si>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2019 год</t>
  </si>
  <si>
    <t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2019 год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</si>
  <si>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2019 год</t>
  </si>
  <si>
    <t>Исполнение муниципальных программ по бюджету муниципального образования "Сусуманский городской округ"  за 2019 год</t>
  </si>
  <si>
    <t>Исполнение по источникам внутреннего финансирования дефицита бюджета муниципального образования "Сусуманский  городской округ" за 2019 год</t>
  </si>
  <si>
    <t>Утверждено</t>
  </si>
  <si>
    <t>Внутренние заимствования (привлечение/погашение)</t>
  </si>
  <si>
    <t>получение кредитов</t>
  </si>
  <si>
    <t>погашение кредитов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</si>
  <si>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2019 год</t>
  </si>
  <si>
    <t>Приложение № 9</t>
  </si>
  <si>
    <t xml:space="preserve">к решению Собрания представителей Сусуманского городского округа </t>
  </si>
  <si>
    <t>Дата</t>
  </si>
  <si>
    <t>№ Справки- увед.</t>
  </si>
  <si>
    <t>Получатель средств</t>
  </si>
  <si>
    <t>Расходы</t>
  </si>
  <si>
    <t>Гл, раздел, подр.,цел.ст., вид расх., эк.классиф.</t>
  </si>
  <si>
    <t>Выделено средств</t>
  </si>
  <si>
    <t>Исполнено, сумма руб.</t>
  </si>
  <si>
    <t>Раздел, подраздел</t>
  </si>
  <si>
    <t>ЦС</t>
  </si>
  <si>
    <t>Эк.ст.</t>
  </si>
  <si>
    <t>Итого</t>
  </si>
  <si>
    <t>Приложение № 10</t>
  </si>
  <si>
    <t>Структура муницип. долга на 01.01.2019 г.</t>
  </si>
  <si>
    <t>Исполнение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</si>
  <si>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</si>
  <si>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</si>
  <si>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</si>
  <si>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</si>
  <si>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</si>
  <si>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Структура муницип. долга на 01.01.2020 г.</t>
  </si>
  <si>
    <t xml:space="preserve">        Исполнение муниципального внутреннего долга муниципального образования "Сусуманский городской округ"  2019 год</t>
  </si>
  <si>
    <t>Приложение № 3</t>
  </si>
  <si>
    <t xml:space="preserve">        Исполнение публичных нормативных обязательств муниципального образования "Сусуманский городской округ" за 2019 год</t>
  </si>
  <si>
    <t>Наименование  показателя</t>
  </si>
  <si>
    <t>План (стоимость работ)</t>
  </si>
  <si>
    <t>Вид работ</t>
  </si>
  <si>
    <t>Профинансировано(тыс. руб.)</t>
  </si>
  <si>
    <t>Кассовые расходы (тыс. руб.)</t>
  </si>
  <si>
    <t>Содержание автомобильных дорог общего пользования местного значения Сусуманского городского округа (ООО "Сусуманская дорожная компания")</t>
  </si>
  <si>
    <t>Содержание полосы отвода,земляного полотна и системы; содержание дорожной одежды; содержание искусственных сооружений и элементов обустройства;зимнее содержание</t>
  </si>
  <si>
    <t>Повышение безопасности дорожного движения на территории Сусуманского ГО  (Умаров З.Ш.)</t>
  </si>
  <si>
    <t>Повышение безопасности дорожного движения на территории Сусуманского ГО       (ИП Михальков М.М.)</t>
  </si>
  <si>
    <t>Приобретение светодиодных светильников</t>
  </si>
  <si>
    <t>Повышение безопасности дорожного движения на территории Сусуманского ГО</t>
  </si>
  <si>
    <t>Устройсво улично-дорожной сети</t>
  </si>
  <si>
    <t>Дорожная деятельность в отношении автомобильных дорог местного значения ИП Гладкова Ю.М.</t>
  </si>
  <si>
    <t>Очистка пешеходных переходов через теплотрассы п.Мяунджа</t>
  </si>
  <si>
    <t>Дорожная деятельность в отношении автомобильных дорог местного значения (Умаров З.Ш.)</t>
  </si>
  <si>
    <t>Отчистка и уборка от снега и льда пешеходных частей автомобильных дорог общего пользования местного значения Сусуманского городского округа в г.Сусуман</t>
  </si>
  <si>
    <t>Очистка и уборка крупногабаритного мусора,пешеходной частей автомобильных дорог общего пользования местного значения Сусуманского городского округа</t>
  </si>
  <si>
    <t>Дорожная деятельность в отношении автомобильных дорог местного значения (ИП Гладкова Ю.М.)</t>
  </si>
  <si>
    <t xml:space="preserve">Отчистка и уборка от мусора пешеходных частей автомобильных дорог общего пользования местного значения Сусуманского городского округа </t>
  </si>
  <si>
    <t xml:space="preserve">Уборка и очистка от мусора пешеходных частей автомобильных дорог </t>
  </si>
  <si>
    <t>Дорожная деятельность в отношении автомобильных дорог местного значения     (Умаров З.Ш.)</t>
  </si>
  <si>
    <t>Покос травы пешеходной части дорого</t>
  </si>
  <si>
    <t>Паспортизация автомобильных дорог общего пользования местного значения на территории Сусуманского городского округа</t>
  </si>
  <si>
    <t>-</t>
  </si>
  <si>
    <t>Приложение № 11</t>
  </si>
  <si>
    <t xml:space="preserve">Итого: </t>
  </si>
  <si>
    <t>Дорожная деятельность в отношении автомобильных дорог местного значения ( ИП Гладкова Ю.М.)</t>
  </si>
  <si>
    <t>0113</t>
  </si>
  <si>
    <t>27.05.2019 г.; 05.12.2019 г.</t>
  </si>
  <si>
    <t>№ 61, № 190</t>
  </si>
  <si>
    <t>05.09.2019 г.</t>
  </si>
  <si>
    <t>№ 110</t>
  </si>
  <si>
    <t xml:space="preserve"> Использование бюджетных ассигнований дорожного фонда муниципального образования "Сусуманский городской округ" за 2019 год.</t>
  </si>
  <si>
    <t>Использование бюджетных ассигнований на бюджетные инвестиции в объекты капитального строительства и приобретение объектов недвижимого имущества в муниципального собственность муниципального образования «Сусуманский городской округ»  за 2019 год</t>
  </si>
  <si>
    <t>от 26.06.2019 г. №  348</t>
  </si>
  <si>
    <t>от 26.06.2019 г. № 348</t>
  </si>
  <si>
    <t>от  26.06.2019 г. № 348</t>
  </si>
  <si>
    <t xml:space="preserve">от 26.06.2019 г. № 348 </t>
  </si>
  <si>
    <t>от 26.06.2020 г. № 348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</si>
</sst>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 Cyr"/>
    </font>
    <font>
      <b/>
      <sz val="16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5" fillId="0" borderId="3">
      <alignment horizontal="left" vertical="top" wrapText="1"/>
    </xf>
    <xf numFmtId="0" fontId="18" fillId="0" borderId="4">
      <alignment horizontal="left" vertical="center" wrapText="1"/>
    </xf>
    <xf numFmtId="43" fontId="17" fillId="0" borderId="0" applyFont="0" applyFill="0" applyBorder="0" applyAlignment="0" applyProtection="0"/>
    <xf numFmtId="0" fontId="2" fillId="0" borderId="0"/>
    <xf numFmtId="0" fontId="1" fillId="0" borderId="0"/>
  </cellStyleXfs>
  <cellXfs count="347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/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16" fillId="0" borderId="1" xfId="0" applyFont="1" applyBorder="1"/>
    <xf numFmtId="49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4" fontId="6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1" xfId="0" applyFont="1" applyBorder="1"/>
    <xf numFmtId="0" fontId="5" fillId="2" borderId="0" xfId="0" applyFont="1" applyFill="1" applyBorder="1"/>
    <xf numFmtId="0" fontId="5" fillId="0" borderId="0" xfId="0" applyFont="1" applyBorder="1"/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0" fontId="7" fillId="0" borderId="0" xfId="0" applyFont="1" applyBorder="1"/>
    <xf numFmtId="164" fontId="7" fillId="2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 wrapText="1" shrinkToFit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Protection="1">
      <alignment horizontal="left" vertical="top" wrapText="1"/>
    </xf>
    <xf numFmtId="0" fontId="7" fillId="0" borderId="0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164" fontId="6" fillId="0" borderId="0" xfId="0" applyNumberFormat="1" applyFont="1" applyFill="1"/>
    <xf numFmtId="164" fontId="6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14" fontId="6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5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/>
    <xf numFmtId="165" fontId="13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5" fillId="4" borderId="0" xfId="0" applyFont="1" applyFill="1"/>
    <xf numFmtId="0" fontId="6" fillId="0" borderId="0" xfId="0" applyFont="1" applyFill="1" applyAlignment="1">
      <alignment wrapText="1"/>
    </xf>
    <xf numFmtId="0" fontId="6" fillId="0" borderId="1" xfId="1" applyNumberFormat="1" applyFont="1" applyFill="1" applyBorder="1" applyProtection="1">
      <alignment horizontal="left" vertical="top" wrapText="1"/>
    </xf>
    <xf numFmtId="49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Border="1"/>
    <xf numFmtId="2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6" fillId="0" borderId="0" xfId="0" applyNumberFormat="1" applyFont="1" applyFill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wrapText="1"/>
    </xf>
    <xf numFmtId="0" fontId="6" fillId="0" borderId="0" xfId="0" applyFont="1" applyFill="1" applyAlignment="1"/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 applyFont="1" applyFill="1"/>
    <xf numFmtId="164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49" fontId="0" fillId="0" borderId="0" xfId="0" applyNumberFormat="1" applyFont="1" applyFill="1"/>
    <xf numFmtId="0" fontId="10" fillId="0" borderId="5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wrapText="1"/>
    </xf>
    <xf numFmtId="0" fontId="3" fillId="0" borderId="0" xfId="0" applyFont="1" applyFill="1"/>
    <xf numFmtId="165" fontId="10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top"/>
    </xf>
    <xf numFmtId="0" fontId="12" fillId="0" borderId="6" xfId="0" applyFont="1" applyFill="1" applyBorder="1"/>
    <xf numFmtId="2" fontId="12" fillId="0" borderId="6" xfId="0" applyNumberFormat="1" applyFont="1" applyFill="1" applyBorder="1"/>
    <xf numFmtId="164" fontId="12" fillId="0" borderId="7" xfId="0" applyNumberFormat="1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/>
    <xf numFmtId="165" fontId="8" fillId="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top" wrapText="1"/>
    </xf>
    <xf numFmtId="164" fontId="13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3" borderId="0" xfId="0" applyFont="1" applyFill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/>
    <xf numFmtId="49" fontId="20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0" fontId="22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/>
    <xf numFmtId="43" fontId="22" fillId="2" borderId="1" xfId="3" applyFont="1" applyFill="1" applyBorder="1"/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Fill="1"/>
    <xf numFmtId="165" fontId="6" fillId="0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/>
    <xf numFmtId="164" fontId="13" fillId="0" borderId="1" xfId="0" applyNumberFormat="1" applyFont="1" applyBorder="1" applyAlignment="1">
      <alignment vertical="top" wrapText="1"/>
    </xf>
    <xf numFmtId="164" fontId="13" fillId="0" borderId="1" xfId="0" applyNumberFormat="1" applyFont="1" applyBorder="1"/>
    <xf numFmtId="164" fontId="0" fillId="0" borderId="0" xfId="0" applyNumberFormat="1"/>
    <xf numFmtId="0" fontId="14" fillId="0" borderId="1" xfId="0" applyFont="1" applyBorder="1"/>
    <xf numFmtId="164" fontId="14" fillId="0" borderId="1" xfId="0" applyNumberFormat="1" applyFont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6" fillId="3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24" fillId="0" borderId="0" xfId="5" applyFont="1"/>
    <xf numFmtId="0" fontId="24" fillId="0" borderId="0" xfId="5" applyFont="1" applyFill="1"/>
    <xf numFmtId="0" fontId="1" fillId="0" borderId="0" xfId="5"/>
    <xf numFmtId="0" fontId="24" fillId="0" borderId="0" xfId="5" applyFont="1" applyAlignment="1">
      <alignment horizontal="center" vertical="center"/>
    </xf>
    <xf numFmtId="0" fontId="25" fillId="0" borderId="0" xfId="5" applyFont="1"/>
    <xf numFmtId="0" fontId="1" fillId="0" borderId="1" xfId="5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24" fillId="0" borderId="1" xfId="5" applyFont="1" applyBorder="1" applyAlignment="1">
      <alignment horizontal="left"/>
    </xf>
    <xf numFmtId="164" fontId="24" fillId="0" borderId="1" xfId="5" applyNumberFormat="1" applyFont="1" applyFill="1" applyBorder="1" applyAlignment="1">
      <alignment horizontal="right"/>
    </xf>
    <xf numFmtId="0" fontId="9" fillId="0" borderId="1" xfId="5" applyFont="1" applyFill="1" applyBorder="1" applyAlignment="1">
      <alignment wrapText="1"/>
    </xf>
    <xf numFmtId="164" fontId="24" fillId="0" borderId="1" xfId="5" applyNumberFormat="1" applyFont="1" applyBorder="1" applyAlignment="1">
      <alignment horizontal="right"/>
    </xf>
    <xf numFmtId="0" fontId="9" fillId="3" borderId="1" xfId="5" applyFont="1" applyFill="1" applyBorder="1" applyAlignment="1">
      <alignment wrapText="1"/>
    </xf>
    <xf numFmtId="0" fontId="9" fillId="0" borderId="1" xfId="5" applyFont="1" applyFill="1" applyBorder="1" applyAlignment="1">
      <alignment vertical="top" wrapText="1"/>
    </xf>
    <xf numFmtId="0" fontId="9" fillId="0" borderId="1" xfId="5" applyFont="1" applyFill="1" applyBorder="1" applyAlignment="1">
      <alignment horizontal="left" vertical="top" wrapText="1"/>
    </xf>
    <xf numFmtId="0" fontId="9" fillId="0" borderId="0" xfId="5" applyFont="1" applyFill="1" applyBorder="1" applyAlignment="1">
      <alignment vertical="top" wrapText="1"/>
    </xf>
    <xf numFmtId="0" fontId="26" fillId="0" borderId="1" xfId="5" applyFont="1" applyBorder="1" applyAlignment="1">
      <alignment horizontal="left" vertical="top" wrapText="1"/>
    </xf>
    <xf numFmtId="0" fontId="27" fillId="0" borderId="0" xfId="5" applyFont="1"/>
    <xf numFmtId="164" fontId="27" fillId="0" borderId="1" xfId="5" applyNumberFormat="1" applyFont="1" applyFill="1" applyBorder="1" applyAlignment="1">
      <alignment horizontal="right"/>
    </xf>
    <xf numFmtId="164" fontId="27" fillId="0" borderId="1" xfId="5" applyNumberFormat="1" applyFont="1" applyBorder="1" applyAlignment="1">
      <alignment horizontal="right"/>
    </xf>
    <xf numFmtId="164" fontId="23" fillId="0" borderId="0" xfId="5" applyNumberFormat="1" applyFont="1"/>
    <xf numFmtId="0" fontId="23" fillId="0" borderId="0" xfId="5" applyFont="1"/>
    <xf numFmtId="0" fontId="27" fillId="0" borderId="0" xfId="5" applyFont="1" applyFill="1"/>
    <xf numFmtId="164" fontId="24" fillId="0" borderId="0" xfId="5" applyNumberFormat="1" applyFont="1"/>
    <xf numFmtId="164" fontId="1" fillId="0" borderId="0" xfId="5" applyNumberFormat="1"/>
    <xf numFmtId="164" fontId="24" fillId="0" borderId="0" xfId="5" applyNumberFormat="1" applyFont="1" applyFill="1"/>
    <xf numFmtId="0" fontId="1" fillId="0" borderId="0" xfId="5" applyFill="1"/>
    <xf numFmtId="0" fontId="6" fillId="0" borderId="6" xfId="0" applyFont="1" applyBorder="1" applyAlignment="1">
      <alignment horizontal="center" vertical="center"/>
    </xf>
    <xf numFmtId="43" fontId="6" fillId="2" borderId="1" xfId="3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67" fontId="6" fillId="0" borderId="6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justify" wrapText="1"/>
    </xf>
    <xf numFmtId="49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wrapText="1"/>
      <protection locked="0"/>
    </xf>
    <xf numFmtId="166" fontId="6" fillId="0" borderId="0" xfId="0" applyNumberFormat="1" applyFont="1" applyFill="1"/>
    <xf numFmtId="0" fontId="9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24" fillId="0" borderId="0" xfId="5" applyFont="1" applyAlignment="1">
      <alignment horizontal="center" vertical="center" wrapText="1"/>
    </xf>
    <xf numFmtId="0" fontId="1" fillId="0" borderId="0" xfId="5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6" fillId="3" borderId="0" xfId="0" applyFont="1" applyFill="1" applyAlignment="1">
      <alignment horizontal="right"/>
    </xf>
    <xf numFmtId="0" fontId="6" fillId="0" borderId="0" xfId="0" applyFont="1" applyAlignment="1">
      <alignment horizontal="right" vertical="top" wrapText="1"/>
    </xf>
    <xf numFmtId="0" fontId="21" fillId="2" borderId="0" xfId="0" applyFont="1" applyFill="1" applyAlignment="1">
      <alignment horizontal="center" wrapText="1"/>
    </xf>
  </cellXfs>
  <cellStyles count="6">
    <cellStyle name="xl35" xfId="1"/>
    <cellStyle name="xl53" xfId="2"/>
    <cellStyle name="Обычный" xfId="0" builtinId="0"/>
    <cellStyle name="Обычный 2" xfId="4"/>
    <cellStyle name="Обычный 3" xf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9%20&#1075;&#1086;&#1076;/&#1056;&#1077;&#1096;.%20&#8470;%20%20%20&#1086;&#1090;%20%2012.11.2019/&#1087;&#1088;&#1080;&#1083;.5,6,7,8,9,10,11,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8%20&#1075;/&#1048;&#1079;&#1084;.&#1073;&#1102;&#1076;.&#1074;%20&#1085;&#1086;&#1103;&#1073;&#1088;&#1077;_2018/&#1087;&#1088;&#1080;&#1083;.2,3,4,5,6,7,8%20&#1080;%20&#1089;&#1088;&#1072;&#1074;.&#1090;&#1072;&#107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77;%20&#1076;&#1086;&#1082;&#1091;&#1084;&#1077;&#1085;&#1090;&#1099;/&#1063;&#1077;&#1088;&#1085;&#1077;&#1075;&#1072;/&#1057;&#1101;&#1076;&#1080;/Documents/&#1054;&#1090;&#1095;&#1077;&#1090;&#1099;%20&#1057;&#1086;&#1073;&#1088;&#1072;&#1085;&#1080;&#1102;%20&#1087;&#1088;&#1077;&#1076;&#1089;&#1090;&#1072;&#1074;&#1080;&#1090;&#1077;&#1083;&#1077;&#1081;/&#1054;&#1090;&#1095;.&#1086;&#1073;%20&#1080;&#1089;&#1087;.&#1073;-&#1090;&#1072;%20&#1079;&#1072;%202018%20&#1075;/&#1054;&#1090;&#1095;&#1077;&#1090;%20&#1074;%20&#1057;&#1086;&#1073;&#1088;&#1072;&#1085;&#1080;&#1077;%20&#1079;&#1072;%202018%20&#1075;%20%20&#1059;&#1058;&#1054;&#1063;&#1053;&#1045;&#1053;/&#1056;&#1072;&#1089;&#1093;&#1086;&#1076;&#1099;%20&#1087;&#1088;&#1080;&#1083;.2,3,4,5,6,7,8.9.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0"/>
      <sheetData sheetId="1"/>
      <sheetData sheetId="2"/>
      <sheetData sheetId="3">
        <row r="449">
          <cell r="E449" t="str">
            <v>7Р 0 02 S3С20</v>
          </cell>
        </row>
        <row r="450">
          <cell r="A450" t="str">
            <v>Предоставление субсидий бюджетным, автономным учреждениям и иным некоммерческим организациям</v>
          </cell>
          <cell r="E450" t="str">
            <v>7Р 0 02 S3С20</v>
          </cell>
          <cell r="F450" t="str">
            <v>600</v>
          </cell>
        </row>
        <row r="451">
          <cell r="A451" t="str">
            <v>Субсидии бюджетным учреждениям</v>
          </cell>
          <cell r="E451" t="str">
            <v>7Р 0 02 S3С20</v>
          </cell>
          <cell r="F451" t="str">
            <v>610</v>
          </cell>
        </row>
        <row r="532">
          <cell r="E532" t="str">
            <v>7Р 0 02 S3С20</v>
          </cell>
        </row>
        <row r="533">
          <cell r="A533" t="str">
            <v>Предоставление субсидий бюджетным, автономным учреждениям и иным некоммерческим организациям</v>
          </cell>
          <cell r="E533" t="str">
            <v>7Р 0 02 S3С20</v>
          </cell>
          <cell r="F533" t="str">
            <v>600</v>
          </cell>
        </row>
        <row r="534">
          <cell r="A534" t="str">
            <v>Субсидии бюджетным учреждениям</v>
          </cell>
          <cell r="E534" t="str">
            <v>7Р 0 02 S3С20</v>
          </cell>
          <cell r="F534" t="str">
            <v>610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0"/>
      <sheetData sheetId="1"/>
      <sheetData sheetId="2"/>
      <sheetData sheetId="3"/>
      <sheetData sheetId="4">
        <row r="64">
          <cell r="E64" t="str">
            <v>360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пр.3"/>
      <sheetName val="пр.4 вед.стр."/>
      <sheetName val="МП пр.5"/>
      <sheetName val="пр.6 ист."/>
      <sheetName val="ПР.8_ВД"/>
      <sheetName val="пр.7"/>
      <sheetName val="пр.9"/>
      <sheetName val="Пр.10"/>
    </sheetNames>
    <sheetDataSet>
      <sheetData sheetId="0" refreshError="1"/>
      <sheetData sheetId="1" refreshError="1"/>
      <sheetData sheetId="2"/>
      <sheetData sheetId="3" refreshError="1"/>
      <sheetData sheetId="4">
        <row r="20">
          <cell r="E20">
            <v>0</v>
          </cell>
        </row>
        <row r="23">
          <cell r="E23">
            <v>0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I69"/>
  <sheetViews>
    <sheetView view="pageBreakPreview" zoomScale="110" zoomScaleSheetLayoutView="110" workbookViewId="0">
      <selection activeCell="J11" sqref="J11"/>
    </sheetView>
  </sheetViews>
  <sheetFormatPr defaultColWidth="9.140625" defaultRowHeight="15.75"/>
  <cols>
    <col min="1" max="1" width="53.42578125" style="1" customWidth="1"/>
    <col min="2" max="3" width="4.28515625" style="55" customWidth="1"/>
    <col min="4" max="4" width="9.42578125" style="55" customWidth="1"/>
    <col min="5" max="5" width="11.7109375" style="63" customWidth="1"/>
    <col min="6" max="9" width="7.85546875" style="63" customWidth="1"/>
    <col min="10" max="16384" width="9.140625" style="1"/>
  </cols>
  <sheetData>
    <row r="1" spans="1:9" s="27" customFormat="1" ht="14.1" customHeight="1">
      <c r="A1" s="201"/>
      <c r="B1" s="295" t="s">
        <v>701</v>
      </c>
      <c r="C1" s="295"/>
      <c r="D1" s="295"/>
      <c r="E1" s="295"/>
      <c r="F1" s="295"/>
      <c r="G1" s="295"/>
      <c r="H1" s="62"/>
      <c r="I1" s="62"/>
    </row>
    <row r="2" spans="1:9" ht="14.1" customHeight="1">
      <c r="A2" s="295" t="s">
        <v>645</v>
      </c>
      <c r="B2" s="295"/>
      <c r="C2" s="295"/>
      <c r="D2" s="295"/>
      <c r="E2" s="295"/>
      <c r="F2" s="295"/>
      <c r="G2" s="295"/>
    </row>
    <row r="3" spans="1:9" ht="14.1" customHeight="1">
      <c r="A3" s="295" t="s">
        <v>702</v>
      </c>
      <c r="B3" s="295"/>
      <c r="C3" s="295"/>
      <c r="D3" s="295"/>
      <c r="E3" s="295"/>
      <c r="F3" s="295"/>
      <c r="G3" s="295"/>
    </row>
    <row r="4" spans="1:9" ht="14.1" customHeight="1">
      <c r="A4" s="205"/>
      <c r="B4" s="295" t="s">
        <v>772</v>
      </c>
      <c r="C4" s="295"/>
      <c r="D4" s="295"/>
      <c r="E4" s="295"/>
      <c r="F4" s="295"/>
      <c r="G4" s="295"/>
    </row>
    <row r="5" spans="1:9" s="149" customFormat="1" ht="30.75" customHeight="1">
      <c r="A5" s="298" t="s">
        <v>703</v>
      </c>
      <c r="B5" s="298"/>
      <c r="C5" s="298"/>
      <c r="D5" s="298"/>
      <c r="E5" s="299"/>
      <c r="F5" s="299"/>
      <c r="G5" s="299"/>
      <c r="H5" s="148"/>
      <c r="I5" s="148"/>
    </row>
    <row r="6" spans="1:9">
      <c r="A6" s="5"/>
      <c r="B6" s="6"/>
      <c r="C6" s="6"/>
      <c r="D6" s="6" t="s">
        <v>1</v>
      </c>
      <c r="E6" s="25"/>
      <c r="F6" s="25"/>
      <c r="G6" s="6" t="s">
        <v>1</v>
      </c>
      <c r="H6" s="25"/>
      <c r="I6" s="25"/>
    </row>
    <row r="7" spans="1:9" ht="33">
      <c r="A7" s="21" t="s">
        <v>29</v>
      </c>
      <c r="B7" s="21" t="s">
        <v>60</v>
      </c>
      <c r="C7" s="21" t="s">
        <v>61</v>
      </c>
      <c r="D7" s="77" t="s">
        <v>358</v>
      </c>
      <c r="E7" s="176" t="s">
        <v>697</v>
      </c>
      <c r="F7" s="176" t="s">
        <v>698</v>
      </c>
      <c r="G7" s="191" t="s">
        <v>700</v>
      </c>
      <c r="H7" s="25"/>
      <c r="I7" s="25"/>
    </row>
    <row r="8" spans="1:9">
      <c r="A8" s="21">
        <v>1</v>
      </c>
      <c r="B8" s="21">
        <v>2</v>
      </c>
      <c r="C8" s="21">
        <v>3</v>
      </c>
      <c r="D8" s="22">
        <v>4</v>
      </c>
      <c r="E8" s="128">
        <v>5</v>
      </c>
      <c r="F8" s="128">
        <v>6</v>
      </c>
      <c r="G8" s="128">
        <v>7</v>
      </c>
      <c r="H8" s="25"/>
      <c r="I8" s="25"/>
    </row>
    <row r="9" spans="1:9">
      <c r="A9" s="61" t="s">
        <v>2</v>
      </c>
      <c r="B9" s="48" t="s">
        <v>62</v>
      </c>
      <c r="C9" s="48" t="s">
        <v>33</v>
      </c>
      <c r="D9" s="72">
        <f>SUM(D10:D15)</f>
        <v>178977.3</v>
      </c>
      <c r="E9" s="72">
        <f t="shared" ref="E9:F9" si="0">SUM(E10:E15)</f>
        <v>176498.7</v>
      </c>
      <c r="F9" s="72">
        <f t="shared" si="0"/>
        <v>2478.6000000000031</v>
      </c>
      <c r="G9" s="73">
        <f t="shared" ref="G9:G49" si="1">E9/D9*100</f>
        <v>98.615131639598999</v>
      </c>
      <c r="H9" s="25"/>
      <c r="I9" s="65"/>
    </row>
    <row r="10" spans="1:9" ht="25.5">
      <c r="A10" s="7" t="s">
        <v>14</v>
      </c>
      <c r="B10" s="45" t="s">
        <v>62</v>
      </c>
      <c r="C10" s="45" t="s">
        <v>63</v>
      </c>
      <c r="D10" s="73">
        <f>пр.3!F10</f>
        <v>4834</v>
      </c>
      <c r="E10" s="73">
        <f>пр.3!G10</f>
        <v>4832.6000000000004</v>
      </c>
      <c r="F10" s="73">
        <f>пр.3!H10</f>
        <v>1.3999999999996362</v>
      </c>
      <c r="G10" s="73">
        <f t="shared" si="1"/>
        <v>99.971038477451387</v>
      </c>
      <c r="H10" s="25"/>
      <c r="I10" s="25"/>
    </row>
    <row r="11" spans="1:9" ht="38.25">
      <c r="A11" s="7" t="s">
        <v>18</v>
      </c>
      <c r="B11" s="45" t="s">
        <v>62</v>
      </c>
      <c r="C11" s="45" t="s">
        <v>66</v>
      </c>
      <c r="D11" s="73">
        <f>пр.3!F16</f>
        <v>3940.8</v>
      </c>
      <c r="E11" s="73">
        <f>пр.3!G16</f>
        <v>3937.1000000000004</v>
      </c>
      <c r="F11" s="73">
        <f>пр.3!H16</f>
        <v>3.6999999999997417</v>
      </c>
      <c r="G11" s="73">
        <f t="shared" si="1"/>
        <v>99.906110434429564</v>
      </c>
      <c r="H11" s="25"/>
      <c r="I11" s="25"/>
    </row>
    <row r="12" spans="1:9" ht="27.75" customHeight="1">
      <c r="A12" s="8" t="s">
        <v>16</v>
      </c>
      <c r="B12" s="45" t="s">
        <v>62</v>
      </c>
      <c r="C12" s="45" t="s">
        <v>64</v>
      </c>
      <c r="D12" s="73">
        <f>пр.3!F37</f>
        <v>91729.7</v>
      </c>
      <c r="E12" s="73">
        <f>пр.3!G37</f>
        <v>90500.900000000009</v>
      </c>
      <c r="F12" s="73">
        <f>пр.3!H37</f>
        <v>1228.8000000000022</v>
      </c>
      <c r="G12" s="73">
        <f t="shared" si="1"/>
        <v>98.660412058471806</v>
      </c>
      <c r="H12" s="25"/>
      <c r="I12" s="25"/>
    </row>
    <row r="13" spans="1:9" ht="39">
      <c r="A13" s="8" t="s">
        <v>75</v>
      </c>
      <c r="B13" s="45" t="s">
        <v>62</v>
      </c>
      <c r="C13" s="45" t="s">
        <v>72</v>
      </c>
      <c r="D13" s="73">
        <f>пр.3!F71</f>
        <v>22543.399999999998</v>
      </c>
      <c r="E13" s="73">
        <f>пр.3!G71</f>
        <v>22178.899999999998</v>
      </c>
      <c r="F13" s="73">
        <f>пр.3!H71</f>
        <v>364.50000000000227</v>
      </c>
      <c r="G13" s="73">
        <f t="shared" si="1"/>
        <v>98.383118784211788</v>
      </c>
      <c r="H13" s="25"/>
      <c r="I13" s="25"/>
    </row>
    <row r="14" spans="1:9">
      <c r="A14" s="7" t="s">
        <v>3</v>
      </c>
      <c r="B14" s="46" t="s">
        <v>62</v>
      </c>
      <c r="C14" s="46" t="s">
        <v>70</v>
      </c>
      <c r="D14" s="73">
        <f>пр.3!F96</f>
        <v>200.50000000000003</v>
      </c>
      <c r="E14" s="73">
        <f>пр.3!G96</f>
        <v>0</v>
      </c>
      <c r="F14" s="73">
        <f>пр.3!H96</f>
        <v>200.50000000000003</v>
      </c>
      <c r="G14" s="73">
        <f t="shared" si="1"/>
        <v>0</v>
      </c>
      <c r="H14" s="25"/>
      <c r="I14" s="25"/>
    </row>
    <row r="15" spans="1:9">
      <c r="A15" s="7" t="s">
        <v>59</v>
      </c>
      <c r="B15" s="46" t="s">
        <v>62</v>
      </c>
      <c r="C15" s="46" t="s">
        <v>83</v>
      </c>
      <c r="D15" s="73">
        <f>пр.3!F101</f>
        <v>55728.9</v>
      </c>
      <c r="E15" s="73">
        <f>пр.3!G101</f>
        <v>55049.2</v>
      </c>
      <c r="F15" s="73">
        <f>пр.3!H101</f>
        <v>679.69999999999936</v>
      </c>
      <c r="G15" s="73">
        <f t="shared" si="1"/>
        <v>98.780345565765685</v>
      </c>
      <c r="H15" s="25"/>
      <c r="I15" s="25"/>
    </row>
    <row r="16" spans="1:9">
      <c r="A16" s="15" t="s">
        <v>195</v>
      </c>
      <c r="B16" s="31" t="s">
        <v>63</v>
      </c>
      <c r="C16" s="31" t="s">
        <v>33</v>
      </c>
      <c r="D16" s="72">
        <f>D17</f>
        <v>443.9</v>
      </c>
      <c r="E16" s="72">
        <f t="shared" ref="E16:F16" si="2">E17</f>
        <v>443.9</v>
      </c>
      <c r="F16" s="72">
        <f t="shared" si="2"/>
        <v>0</v>
      </c>
      <c r="G16" s="73">
        <f t="shared" si="1"/>
        <v>100</v>
      </c>
      <c r="H16" s="25"/>
      <c r="I16" s="25"/>
    </row>
    <row r="17" spans="1:9">
      <c r="A17" s="16" t="s">
        <v>194</v>
      </c>
      <c r="B17" s="20" t="s">
        <v>63</v>
      </c>
      <c r="C17" s="20" t="s">
        <v>66</v>
      </c>
      <c r="D17" s="73">
        <f>пр.3!F187</f>
        <v>443.9</v>
      </c>
      <c r="E17" s="73">
        <f>пр.3!G187</f>
        <v>443.9</v>
      </c>
      <c r="F17" s="73">
        <f>пр.3!H187</f>
        <v>0</v>
      </c>
      <c r="G17" s="73">
        <f t="shared" si="1"/>
        <v>100</v>
      </c>
      <c r="H17" s="25"/>
      <c r="I17" s="25"/>
    </row>
    <row r="18" spans="1:9" ht="25.5">
      <c r="A18" s="9" t="s">
        <v>4</v>
      </c>
      <c r="B18" s="47" t="s">
        <v>66</v>
      </c>
      <c r="C18" s="48" t="s">
        <v>33</v>
      </c>
      <c r="D18" s="72">
        <f>D19</f>
        <v>13737</v>
      </c>
      <c r="E18" s="72">
        <f t="shared" ref="E18:F18" si="3">E19</f>
        <v>13504.9</v>
      </c>
      <c r="F18" s="72">
        <f t="shared" si="3"/>
        <v>232.09999999999965</v>
      </c>
      <c r="G18" s="73">
        <f t="shared" si="1"/>
        <v>98.310402562422652</v>
      </c>
      <c r="H18" s="25"/>
      <c r="I18" s="25"/>
    </row>
    <row r="19" spans="1:9" ht="24.75">
      <c r="A19" s="12" t="s">
        <v>76</v>
      </c>
      <c r="B19" s="45" t="s">
        <v>66</v>
      </c>
      <c r="C19" s="45" t="s">
        <v>71</v>
      </c>
      <c r="D19" s="73">
        <f>пр.3!F194</f>
        <v>13737</v>
      </c>
      <c r="E19" s="73">
        <f>пр.3!G194</f>
        <v>13504.9</v>
      </c>
      <c r="F19" s="73">
        <f>пр.3!H194</f>
        <v>232.09999999999965</v>
      </c>
      <c r="G19" s="73">
        <f t="shared" si="1"/>
        <v>98.310402562422652</v>
      </c>
      <c r="H19" s="25"/>
      <c r="I19" s="25"/>
    </row>
    <row r="20" spans="1:9">
      <c r="A20" s="9" t="s">
        <v>5</v>
      </c>
      <c r="B20" s="49" t="s">
        <v>64</v>
      </c>
      <c r="C20" s="49" t="s">
        <v>33</v>
      </c>
      <c r="D20" s="72">
        <f>SUM(D21:D23)</f>
        <v>9506.3000000000011</v>
      </c>
      <c r="E20" s="72">
        <f t="shared" ref="E20:F20" si="4">SUM(E21:E23)</f>
        <v>7463.1</v>
      </c>
      <c r="F20" s="72">
        <f t="shared" si="4"/>
        <v>2043.2000000000003</v>
      </c>
      <c r="G20" s="73">
        <f t="shared" si="1"/>
        <v>78.506884907903171</v>
      </c>
      <c r="H20" s="25"/>
      <c r="I20" s="25"/>
    </row>
    <row r="21" spans="1:9">
      <c r="A21" s="16" t="s">
        <v>319</v>
      </c>
      <c r="B21" s="46" t="s">
        <v>64</v>
      </c>
      <c r="C21" s="46" t="s">
        <v>72</v>
      </c>
      <c r="D21" s="73">
        <f>пр.3!F218</f>
        <v>1419.5</v>
      </c>
      <c r="E21" s="73">
        <f>пр.3!G218</f>
        <v>4.9000000000000004</v>
      </c>
      <c r="F21" s="73">
        <f>пр.3!H218</f>
        <v>1414.6000000000001</v>
      </c>
      <c r="G21" s="73">
        <f t="shared" si="1"/>
        <v>0.34519196900317012</v>
      </c>
      <c r="H21" s="25"/>
      <c r="I21" s="25"/>
    </row>
    <row r="22" spans="1:9">
      <c r="A22" s="7" t="s">
        <v>78</v>
      </c>
      <c r="B22" s="46" t="s">
        <v>64</v>
      </c>
      <c r="C22" s="46" t="s">
        <v>71</v>
      </c>
      <c r="D22" s="73">
        <f>пр.3!F229</f>
        <v>7613.2000000000007</v>
      </c>
      <c r="E22" s="73">
        <f>пр.3!G229</f>
        <v>7028.7000000000007</v>
      </c>
      <c r="F22" s="73">
        <f>пр.3!H229</f>
        <v>584.50000000000011</v>
      </c>
      <c r="G22" s="73">
        <f t="shared" si="1"/>
        <v>92.322545053328426</v>
      </c>
      <c r="H22" s="25"/>
      <c r="I22" s="25"/>
    </row>
    <row r="23" spans="1:9">
      <c r="A23" s="7" t="s">
        <v>6</v>
      </c>
      <c r="B23" s="46" t="s">
        <v>64</v>
      </c>
      <c r="C23" s="46" t="s">
        <v>74</v>
      </c>
      <c r="D23" s="73">
        <f>пр.3!F248</f>
        <v>473.6</v>
      </c>
      <c r="E23" s="73">
        <f>пр.3!G248</f>
        <v>429.5</v>
      </c>
      <c r="F23" s="73">
        <f>пр.3!H248</f>
        <v>44.100000000000023</v>
      </c>
      <c r="G23" s="73">
        <f t="shared" si="1"/>
        <v>90.688344594594597</v>
      </c>
      <c r="H23" s="25"/>
      <c r="I23" s="25"/>
    </row>
    <row r="24" spans="1:9">
      <c r="A24" s="14" t="s">
        <v>126</v>
      </c>
      <c r="B24" s="49" t="s">
        <v>68</v>
      </c>
      <c r="C24" s="49" t="s">
        <v>33</v>
      </c>
      <c r="D24" s="72">
        <f>D25+D26+D27</f>
        <v>47286.7</v>
      </c>
      <c r="E24" s="72">
        <f t="shared" ref="E24:F24" si="5">E25+E26+E27</f>
        <v>44006.999999999993</v>
      </c>
      <c r="F24" s="72">
        <f t="shared" si="5"/>
        <v>3279.6999999999989</v>
      </c>
      <c r="G24" s="73">
        <f t="shared" si="1"/>
        <v>93.064223132508701</v>
      </c>
      <c r="H24" s="64"/>
      <c r="I24" s="25"/>
    </row>
    <row r="25" spans="1:9">
      <c r="A25" s="7" t="s">
        <v>125</v>
      </c>
      <c r="B25" s="46" t="s">
        <v>68</v>
      </c>
      <c r="C25" s="46" t="s">
        <v>62</v>
      </c>
      <c r="D25" s="73">
        <f>пр.3!F266</f>
        <v>17113.599999999999</v>
      </c>
      <c r="E25" s="73">
        <f>пр.3!G266</f>
        <v>15326.3</v>
      </c>
      <c r="F25" s="73">
        <f>пр.3!H266</f>
        <v>1787.2999999999997</v>
      </c>
      <c r="G25" s="73">
        <f t="shared" si="1"/>
        <v>89.556259349289462</v>
      </c>
      <c r="H25" s="25"/>
      <c r="I25" s="25"/>
    </row>
    <row r="26" spans="1:9">
      <c r="A26" s="16" t="s">
        <v>170</v>
      </c>
      <c r="B26" s="46" t="s">
        <v>68</v>
      </c>
      <c r="C26" s="46" t="s">
        <v>63</v>
      </c>
      <c r="D26" s="73">
        <f>пр.3!F282</f>
        <v>25104.399999999998</v>
      </c>
      <c r="E26" s="73">
        <f>пр.3!G282</f>
        <v>24687.1</v>
      </c>
      <c r="F26" s="73">
        <f>пр.3!H282</f>
        <v>417.29999999999927</v>
      </c>
      <c r="G26" s="73">
        <f t="shared" si="1"/>
        <v>98.337741591115503</v>
      </c>
      <c r="H26" s="25"/>
      <c r="I26" s="25"/>
    </row>
    <row r="27" spans="1:9">
      <c r="A27" s="16" t="s">
        <v>172</v>
      </c>
      <c r="B27" s="46" t="s">
        <v>68</v>
      </c>
      <c r="C27" s="46" t="s">
        <v>66</v>
      </c>
      <c r="D27" s="73">
        <f>пр.3!F304</f>
        <v>5068.7</v>
      </c>
      <c r="E27" s="73">
        <f>пр.3!G304</f>
        <v>3993.6</v>
      </c>
      <c r="F27" s="73">
        <f>пр.3!H304</f>
        <v>1075.0999999999999</v>
      </c>
      <c r="G27" s="73">
        <f t="shared" si="1"/>
        <v>78.78943318799692</v>
      </c>
      <c r="H27" s="25"/>
      <c r="I27" s="25"/>
    </row>
    <row r="28" spans="1:9" s="60" customFormat="1">
      <c r="A28" s="15" t="s">
        <v>329</v>
      </c>
      <c r="B28" s="49" t="s">
        <v>72</v>
      </c>
      <c r="C28" s="49" t="s">
        <v>33</v>
      </c>
      <c r="D28" s="72">
        <f>D29</f>
        <v>235</v>
      </c>
      <c r="E28" s="72">
        <f t="shared" ref="E28:F28" si="6">E29</f>
        <v>85</v>
      </c>
      <c r="F28" s="72">
        <f t="shared" si="6"/>
        <v>150</v>
      </c>
      <c r="G28" s="73">
        <f t="shared" si="1"/>
        <v>36.170212765957451</v>
      </c>
      <c r="H28" s="64"/>
      <c r="I28" s="66"/>
    </row>
    <row r="29" spans="1:9">
      <c r="A29" s="15" t="s">
        <v>292</v>
      </c>
      <c r="B29" s="46" t="s">
        <v>72</v>
      </c>
      <c r="C29" s="46" t="s">
        <v>68</v>
      </c>
      <c r="D29" s="73">
        <f>пр.3!F340</f>
        <v>235</v>
      </c>
      <c r="E29" s="73">
        <f>пр.3!G340</f>
        <v>85</v>
      </c>
      <c r="F29" s="73">
        <f>пр.3!H340</f>
        <v>150</v>
      </c>
      <c r="G29" s="73">
        <f t="shared" si="1"/>
        <v>36.170212765957451</v>
      </c>
      <c r="H29" s="25"/>
      <c r="I29" s="25"/>
    </row>
    <row r="30" spans="1:9">
      <c r="A30" s="9" t="s">
        <v>7</v>
      </c>
      <c r="B30" s="49" t="s">
        <v>65</v>
      </c>
      <c r="C30" s="49" t="s">
        <v>33</v>
      </c>
      <c r="D30" s="72">
        <f>SUM(D31:D35)</f>
        <v>398541.89999999997</v>
      </c>
      <c r="E30" s="72">
        <f t="shared" ref="E30:F30" si="7">SUM(E31:E35)</f>
        <v>396991.80000000005</v>
      </c>
      <c r="F30" s="72">
        <f t="shared" si="7"/>
        <v>1550.0999999999947</v>
      </c>
      <c r="G30" s="73">
        <f t="shared" si="1"/>
        <v>99.611057206281217</v>
      </c>
      <c r="H30" s="25"/>
      <c r="I30" s="25"/>
    </row>
    <row r="31" spans="1:9">
      <c r="A31" s="7" t="s">
        <v>8</v>
      </c>
      <c r="B31" s="46" t="s">
        <v>65</v>
      </c>
      <c r="C31" s="46" t="s">
        <v>62</v>
      </c>
      <c r="D31" s="73">
        <f>пр.3!F355</f>
        <v>77085</v>
      </c>
      <c r="E31" s="73">
        <f>пр.3!G355</f>
        <v>77008.899999999994</v>
      </c>
      <c r="F31" s="73">
        <f>пр.3!H355</f>
        <v>76.100000000003917</v>
      </c>
      <c r="G31" s="73">
        <f t="shared" si="1"/>
        <v>99.901277810209493</v>
      </c>
      <c r="H31" s="25"/>
      <c r="I31" s="25"/>
    </row>
    <row r="32" spans="1:9">
      <c r="A32" s="7" t="s">
        <v>9</v>
      </c>
      <c r="B32" s="46" t="s">
        <v>65</v>
      </c>
      <c r="C32" s="46" t="s">
        <v>63</v>
      </c>
      <c r="D32" s="73">
        <f>пр.3!F411</f>
        <v>197101.59999999998</v>
      </c>
      <c r="E32" s="73">
        <f>пр.3!G411</f>
        <v>196512.80000000002</v>
      </c>
      <c r="F32" s="73">
        <f>пр.3!H411</f>
        <v>588.79999999999393</v>
      </c>
      <c r="G32" s="73">
        <f t="shared" si="1"/>
        <v>99.701270816675276</v>
      </c>
      <c r="H32" s="25"/>
      <c r="I32" s="25"/>
    </row>
    <row r="33" spans="1:9">
      <c r="A33" s="7" t="s">
        <v>302</v>
      </c>
      <c r="B33" s="46" t="s">
        <v>65</v>
      </c>
      <c r="C33" s="46" t="s">
        <v>66</v>
      </c>
      <c r="D33" s="73">
        <f>пр.3!F498</f>
        <v>67786.700000000012</v>
      </c>
      <c r="E33" s="73">
        <f>пр.3!G498</f>
        <v>67401.100000000006</v>
      </c>
      <c r="F33" s="73">
        <f>пр.3!H498</f>
        <v>385.6000000000007</v>
      </c>
      <c r="G33" s="73">
        <f t="shared" si="1"/>
        <v>99.431156849352448</v>
      </c>
      <c r="H33" s="25"/>
      <c r="I33" s="25"/>
    </row>
    <row r="34" spans="1:9">
      <c r="A34" s="7" t="s">
        <v>334</v>
      </c>
      <c r="B34" s="46" t="s">
        <v>65</v>
      </c>
      <c r="C34" s="46" t="s">
        <v>65</v>
      </c>
      <c r="D34" s="73">
        <f>пр.3!F546</f>
        <v>11437.5</v>
      </c>
      <c r="E34" s="73">
        <f>пр.3!G546</f>
        <v>11011.1</v>
      </c>
      <c r="F34" s="73">
        <f>пр.3!H546</f>
        <v>426.40000000000032</v>
      </c>
      <c r="G34" s="73">
        <f t="shared" si="1"/>
        <v>96.271912568306021</v>
      </c>
      <c r="H34" s="25"/>
      <c r="I34" s="25"/>
    </row>
    <row r="35" spans="1:9">
      <c r="A35" s="7" t="s">
        <v>10</v>
      </c>
      <c r="B35" s="46" t="s">
        <v>65</v>
      </c>
      <c r="C35" s="46" t="s">
        <v>71</v>
      </c>
      <c r="D35" s="73">
        <f>пр.3!F604</f>
        <v>45131.099999999991</v>
      </c>
      <c r="E35" s="73">
        <f>пр.3!G604</f>
        <v>45057.9</v>
      </c>
      <c r="F35" s="73">
        <f>пр.3!H604</f>
        <v>73.199999999995669</v>
      </c>
      <c r="G35" s="73">
        <f t="shared" si="1"/>
        <v>99.837805858931006</v>
      </c>
      <c r="H35" s="25"/>
      <c r="I35" s="25"/>
    </row>
    <row r="36" spans="1:9">
      <c r="A36" s="13" t="s">
        <v>120</v>
      </c>
      <c r="B36" s="47" t="s">
        <v>69</v>
      </c>
      <c r="C36" s="48" t="s">
        <v>33</v>
      </c>
      <c r="D36" s="72">
        <f>D37+D38</f>
        <v>44904.2</v>
      </c>
      <c r="E36" s="72">
        <f t="shared" ref="E36:F36" si="8">E37+E38</f>
        <v>43442.9</v>
      </c>
      <c r="F36" s="72">
        <f t="shared" si="8"/>
        <v>1461.2999999999993</v>
      </c>
      <c r="G36" s="73">
        <f t="shared" si="1"/>
        <v>96.745738705956242</v>
      </c>
      <c r="H36" s="25"/>
      <c r="I36" s="25"/>
    </row>
    <row r="37" spans="1:9">
      <c r="A37" s="7" t="s">
        <v>11</v>
      </c>
      <c r="B37" s="46" t="s">
        <v>69</v>
      </c>
      <c r="C37" s="46" t="s">
        <v>62</v>
      </c>
      <c r="D37" s="73">
        <f>пр.3!F666</f>
        <v>30683.899999999998</v>
      </c>
      <c r="E37" s="73">
        <f>пр.3!G666</f>
        <v>30044.100000000002</v>
      </c>
      <c r="F37" s="73">
        <f>пр.3!H666</f>
        <v>639.79999999999893</v>
      </c>
      <c r="G37" s="73">
        <f t="shared" si="1"/>
        <v>97.914867406033807</v>
      </c>
      <c r="H37" s="25"/>
      <c r="I37" s="25"/>
    </row>
    <row r="38" spans="1:9">
      <c r="A38" s="12" t="s">
        <v>82</v>
      </c>
      <c r="B38" s="50" t="s">
        <v>69</v>
      </c>
      <c r="C38" s="50" t="s">
        <v>64</v>
      </c>
      <c r="D38" s="73">
        <f>пр.3!F730</f>
        <v>14220.3</v>
      </c>
      <c r="E38" s="73">
        <f>пр.3!G730</f>
        <v>13398.8</v>
      </c>
      <c r="F38" s="73">
        <f>пр.3!H730</f>
        <v>821.50000000000034</v>
      </c>
      <c r="G38" s="73">
        <f t="shared" si="1"/>
        <v>94.223047333741206</v>
      </c>
      <c r="H38" s="25"/>
      <c r="I38" s="25"/>
    </row>
    <row r="39" spans="1:9">
      <c r="A39" s="9" t="s">
        <v>58</v>
      </c>
      <c r="B39" s="49" t="s">
        <v>67</v>
      </c>
      <c r="C39" s="49" t="s">
        <v>33</v>
      </c>
      <c r="D39" s="72">
        <f>D40+D41+D42</f>
        <v>47596.3</v>
      </c>
      <c r="E39" s="72">
        <f t="shared" ref="E39:F39" si="9">E40+E41+E42</f>
        <v>47224.5</v>
      </c>
      <c r="F39" s="72">
        <f t="shared" si="9"/>
        <v>371.79999999999922</v>
      </c>
      <c r="G39" s="73">
        <f t="shared" si="1"/>
        <v>99.218846843136959</v>
      </c>
      <c r="H39" s="25"/>
      <c r="I39" s="25"/>
    </row>
    <row r="40" spans="1:9">
      <c r="A40" s="7" t="s">
        <v>54</v>
      </c>
      <c r="B40" s="46" t="s">
        <v>67</v>
      </c>
      <c r="C40" s="46" t="s">
        <v>62</v>
      </c>
      <c r="D40" s="73">
        <f>пр.3!F785</f>
        <v>7952.5</v>
      </c>
      <c r="E40" s="73">
        <f>пр.3!G785</f>
        <v>7951.9</v>
      </c>
      <c r="F40" s="73">
        <f>пр.3!H785</f>
        <v>0.6000000000003638</v>
      </c>
      <c r="G40" s="73">
        <f t="shared" si="1"/>
        <v>99.992455202766422</v>
      </c>
      <c r="H40" s="25"/>
      <c r="I40" s="25"/>
    </row>
    <row r="41" spans="1:9">
      <c r="A41" s="10" t="s">
        <v>57</v>
      </c>
      <c r="B41" s="33" t="s">
        <v>67</v>
      </c>
      <c r="C41" s="33" t="s">
        <v>66</v>
      </c>
      <c r="D41" s="73">
        <f>пр.3!F790</f>
        <v>36202</v>
      </c>
      <c r="E41" s="73">
        <f>пр.3!G790</f>
        <v>36183.5</v>
      </c>
      <c r="F41" s="73">
        <f>пр.3!H790</f>
        <v>18.499999999998945</v>
      </c>
      <c r="G41" s="73">
        <f t="shared" si="1"/>
        <v>99.948897850947461</v>
      </c>
      <c r="H41" s="25"/>
      <c r="I41" s="25"/>
    </row>
    <row r="42" spans="1:9">
      <c r="A42" s="39" t="s">
        <v>127</v>
      </c>
      <c r="B42" s="33" t="s">
        <v>67</v>
      </c>
      <c r="C42" s="33" t="s">
        <v>72</v>
      </c>
      <c r="D42" s="73">
        <f>пр.3!F825</f>
        <v>3441.7999999999997</v>
      </c>
      <c r="E42" s="73">
        <f>пр.3!G825</f>
        <v>3089.0999999999995</v>
      </c>
      <c r="F42" s="73">
        <f>пр.3!H825</f>
        <v>352.69999999999993</v>
      </c>
      <c r="G42" s="73">
        <f t="shared" si="1"/>
        <v>89.752455110697881</v>
      </c>
      <c r="H42" s="25"/>
      <c r="I42" s="25"/>
    </row>
    <row r="43" spans="1:9">
      <c r="A43" s="15" t="s">
        <v>79</v>
      </c>
      <c r="B43" s="34" t="s">
        <v>70</v>
      </c>
      <c r="C43" s="34" t="s">
        <v>33</v>
      </c>
      <c r="D43" s="72">
        <f>D44</f>
        <v>29991.300000000003</v>
      </c>
      <c r="E43" s="72">
        <f t="shared" ref="E43:F43" si="10">E44</f>
        <v>29452.200000000004</v>
      </c>
      <c r="F43" s="72">
        <f t="shared" si="10"/>
        <v>539.1000000000007</v>
      </c>
      <c r="G43" s="73">
        <f t="shared" si="1"/>
        <v>98.202478718828473</v>
      </c>
      <c r="H43" s="25"/>
      <c r="I43" s="25"/>
    </row>
    <row r="44" spans="1:9">
      <c r="A44" s="16" t="s">
        <v>80</v>
      </c>
      <c r="B44" s="33" t="s">
        <v>70</v>
      </c>
      <c r="C44" s="33" t="s">
        <v>62</v>
      </c>
      <c r="D44" s="73">
        <f>пр.3!F850</f>
        <v>29991.300000000003</v>
      </c>
      <c r="E44" s="73">
        <f>пр.3!G850</f>
        <v>29452.200000000004</v>
      </c>
      <c r="F44" s="73">
        <f>пр.3!H850</f>
        <v>539.1000000000007</v>
      </c>
      <c r="G44" s="73">
        <f t="shared" si="1"/>
        <v>98.202478718828473</v>
      </c>
      <c r="H44" s="25"/>
      <c r="I44" s="25"/>
    </row>
    <row r="45" spans="1:9">
      <c r="A45" s="15" t="s">
        <v>81</v>
      </c>
      <c r="B45" s="34" t="s">
        <v>74</v>
      </c>
      <c r="C45" s="34" t="s">
        <v>33</v>
      </c>
      <c r="D45" s="72">
        <f>D46</f>
        <v>5617</v>
      </c>
      <c r="E45" s="72">
        <f t="shared" ref="E45:F45" si="11">E46</f>
        <v>5617</v>
      </c>
      <c r="F45" s="72">
        <f t="shared" si="11"/>
        <v>0</v>
      </c>
      <c r="G45" s="73">
        <f t="shared" si="1"/>
        <v>100</v>
      </c>
      <c r="H45" s="25"/>
      <c r="I45" s="25"/>
    </row>
    <row r="46" spans="1:9">
      <c r="A46" s="15" t="s">
        <v>12</v>
      </c>
      <c r="B46" s="33" t="s">
        <v>74</v>
      </c>
      <c r="C46" s="33" t="s">
        <v>63</v>
      </c>
      <c r="D46" s="73">
        <f>пр.3!F900</f>
        <v>5617</v>
      </c>
      <c r="E46" s="73">
        <f>пр.3!G900</f>
        <v>5617</v>
      </c>
      <c r="F46" s="73">
        <f>пр.3!H900</f>
        <v>0</v>
      </c>
      <c r="G46" s="73">
        <f t="shared" si="1"/>
        <v>100</v>
      </c>
      <c r="H46" s="25"/>
      <c r="I46" s="25"/>
    </row>
    <row r="47" spans="1:9" ht="26.25">
      <c r="A47" s="15" t="str">
        <f>пр.3!A905</f>
        <v>ОБСЛУЖИВАНИЕ ГОСУДАРСТВЕННОГО И МУНИЦИПАЛЬНОГО ДОЛГА</v>
      </c>
      <c r="B47" s="40" t="s">
        <v>83</v>
      </c>
      <c r="C47" s="40" t="s">
        <v>33</v>
      </c>
      <c r="D47" s="72">
        <f>D48</f>
        <v>12</v>
      </c>
      <c r="E47" s="72">
        <f t="shared" ref="E47:F47" si="12">E48</f>
        <v>12</v>
      </c>
      <c r="F47" s="72">
        <f t="shared" si="12"/>
        <v>0</v>
      </c>
      <c r="G47" s="73">
        <f t="shared" si="1"/>
        <v>100</v>
      </c>
      <c r="H47" s="25"/>
      <c r="I47" s="25"/>
    </row>
    <row r="48" spans="1:9" ht="14.25" customHeight="1">
      <c r="A48" s="16" t="str">
        <f>пр.3!A906</f>
        <v>Обслуживание государственного внутреннего и муниципального долга</v>
      </c>
      <c r="B48" s="38" t="s">
        <v>83</v>
      </c>
      <c r="C48" s="38" t="s">
        <v>62</v>
      </c>
      <c r="D48" s="73">
        <f>пр.3!F906</f>
        <v>12</v>
      </c>
      <c r="E48" s="73">
        <f>пр.3!G906</f>
        <v>12</v>
      </c>
      <c r="F48" s="73">
        <f>пр.3!H906</f>
        <v>0</v>
      </c>
      <c r="G48" s="73">
        <f t="shared" si="1"/>
        <v>100</v>
      </c>
    </row>
    <row r="49" spans="1:9">
      <c r="A49" s="9" t="s">
        <v>40</v>
      </c>
      <c r="B49" s="49"/>
      <c r="C49" s="49"/>
      <c r="D49" s="74">
        <f>D9+D16+D18+D20+D24+D28+D30+D36+D39+D43+D45+D47</f>
        <v>776848.89999999991</v>
      </c>
      <c r="E49" s="74">
        <f t="shared" ref="E49:F49" si="13">E9+E16+E18+E20+E24+E28+E30+E36+E39+E43+E45+E47</f>
        <v>764743</v>
      </c>
      <c r="F49" s="74">
        <f t="shared" si="13"/>
        <v>12105.899999999996</v>
      </c>
      <c r="G49" s="73">
        <f t="shared" si="1"/>
        <v>98.441666069167383</v>
      </c>
      <c r="H49" s="25"/>
      <c r="I49" s="65"/>
    </row>
    <row r="50" spans="1:9">
      <c r="A50" s="2"/>
      <c r="B50" s="51"/>
      <c r="C50" s="51"/>
      <c r="D50" s="125"/>
      <c r="E50" s="67"/>
      <c r="F50" s="67"/>
      <c r="G50" s="67"/>
      <c r="H50" s="67"/>
      <c r="I50" s="67"/>
    </row>
    <row r="51" spans="1:9">
      <c r="A51" s="297"/>
      <c r="B51" s="297"/>
      <c r="C51" s="297"/>
      <c r="D51" s="297"/>
    </row>
    <row r="52" spans="1:9">
      <c r="A52" s="3"/>
      <c r="B52" s="52"/>
      <c r="C52" s="52"/>
      <c r="D52" s="56"/>
    </row>
    <row r="53" spans="1:9">
      <c r="A53" s="296"/>
      <c r="B53" s="296"/>
      <c r="C53" s="296"/>
      <c r="D53" s="296"/>
    </row>
    <row r="54" spans="1:9">
      <c r="A54" s="296"/>
      <c r="B54" s="296"/>
      <c r="C54" s="296"/>
      <c r="D54" s="296"/>
    </row>
    <row r="55" spans="1:9">
      <c r="A55" s="3"/>
      <c r="B55" s="52"/>
      <c r="C55" s="52"/>
      <c r="D55" s="53"/>
    </row>
    <row r="56" spans="1:9">
      <c r="A56" s="4"/>
      <c r="B56" s="54"/>
      <c r="C56" s="54"/>
    </row>
    <row r="57" spans="1:9">
      <c r="A57" s="4"/>
      <c r="B57" s="54"/>
      <c r="C57" s="54"/>
    </row>
    <row r="58" spans="1:9">
      <c r="A58" s="4"/>
      <c r="B58" s="54"/>
      <c r="C58" s="54"/>
    </row>
    <row r="59" spans="1:9">
      <c r="A59" s="4"/>
      <c r="B59" s="54"/>
      <c r="C59" s="54"/>
    </row>
    <row r="60" spans="1:9">
      <c r="A60" s="4"/>
      <c r="B60" s="54"/>
      <c r="C60" s="54"/>
    </row>
    <row r="61" spans="1:9">
      <c r="A61" s="4"/>
      <c r="B61" s="54"/>
      <c r="C61" s="54"/>
    </row>
    <row r="62" spans="1:9">
      <c r="A62" s="4"/>
      <c r="B62" s="54"/>
      <c r="C62" s="54"/>
    </row>
    <row r="63" spans="1:9">
      <c r="A63" s="4"/>
      <c r="B63" s="54"/>
      <c r="C63" s="54"/>
    </row>
    <row r="64" spans="1:9">
      <c r="A64" s="4"/>
      <c r="B64" s="54"/>
      <c r="C64" s="54"/>
    </row>
    <row r="65" spans="1:3">
      <c r="A65" s="4"/>
      <c r="B65" s="54"/>
      <c r="C65" s="54"/>
    </row>
    <row r="66" spans="1:3">
      <c r="A66" s="4"/>
      <c r="B66" s="54"/>
      <c r="C66" s="54"/>
    </row>
    <row r="67" spans="1:3">
      <c r="A67" s="4"/>
      <c r="B67" s="54"/>
      <c r="C67" s="54"/>
    </row>
    <row r="68" spans="1:3">
      <c r="A68" s="4"/>
      <c r="B68" s="54"/>
      <c r="C68" s="54"/>
    </row>
    <row r="69" spans="1:3">
      <c r="A69" s="4"/>
      <c r="B69" s="54"/>
      <c r="C69" s="54"/>
    </row>
  </sheetData>
  <mergeCells count="8">
    <mergeCell ref="B1:G1"/>
    <mergeCell ref="A2:G2"/>
    <mergeCell ref="A3:G3"/>
    <mergeCell ref="B4:G4"/>
    <mergeCell ref="A54:D54"/>
    <mergeCell ref="A51:D51"/>
    <mergeCell ref="A53:D53"/>
    <mergeCell ref="A5:G5"/>
  </mergeCells>
  <phoneticPr fontId="3" type="noConversion"/>
  <pageMargins left="1.1811023622047245" right="0.39370078740157483" top="0.39370078740157483" bottom="0.39370078740157483" header="0.11811023622047245" footer="0.11811023622047245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"/>
  <sheetViews>
    <sheetView tabSelected="1" view="pageBreakPreview" zoomScale="90" zoomScaleSheetLayoutView="90" workbookViewId="0">
      <selection activeCell="K21" sqref="K21"/>
    </sheetView>
  </sheetViews>
  <sheetFormatPr defaultRowHeight="12.75"/>
  <cols>
    <col min="1" max="1" width="11.28515625" bestFit="1" customWidth="1"/>
    <col min="2" max="2" width="10.7109375" customWidth="1"/>
    <col min="3" max="3" width="9.42578125" customWidth="1"/>
    <col min="4" max="4" width="15.7109375" customWidth="1"/>
    <col min="5" max="5" width="9.140625" bestFit="1" customWidth="1"/>
    <col min="6" max="6" width="10.85546875" bestFit="1" customWidth="1"/>
    <col min="7" max="7" width="12.7109375" customWidth="1"/>
    <col min="8" max="8" width="9.42578125" bestFit="1" customWidth="1"/>
    <col min="10" max="10" width="12.5703125" customWidth="1"/>
    <col min="11" max="11" width="12.7109375" customWidth="1"/>
    <col min="12" max="12" width="9" bestFit="1" customWidth="1"/>
    <col min="13" max="13" width="10" bestFit="1" customWidth="1"/>
    <col min="261" max="261" width="11.5703125" customWidth="1"/>
    <col min="265" max="265" width="16.7109375" customWidth="1"/>
    <col min="266" max="266" width="11.7109375" customWidth="1"/>
    <col min="267" max="267" width="11.28515625" customWidth="1"/>
    <col min="517" max="517" width="11.5703125" customWidth="1"/>
    <col min="521" max="521" width="16.7109375" customWidth="1"/>
    <col min="522" max="522" width="11.7109375" customWidth="1"/>
    <col min="523" max="523" width="11.28515625" customWidth="1"/>
    <col min="773" max="773" width="11.5703125" customWidth="1"/>
    <col min="777" max="777" width="16.7109375" customWidth="1"/>
    <col min="778" max="778" width="11.7109375" customWidth="1"/>
    <col min="779" max="779" width="11.28515625" customWidth="1"/>
    <col min="1029" max="1029" width="11.5703125" customWidth="1"/>
    <col min="1033" max="1033" width="16.7109375" customWidth="1"/>
    <col min="1034" max="1034" width="11.7109375" customWidth="1"/>
    <col min="1035" max="1035" width="11.28515625" customWidth="1"/>
    <col min="1285" max="1285" width="11.5703125" customWidth="1"/>
    <col min="1289" max="1289" width="16.7109375" customWidth="1"/>
    <col min="1290" max="1290" width="11.7109375" customWidth="1"/>
    <col min="1291" max="1291" width="11.28515625" customWidth="1"/>
    <col min="1541" max="1541" width="11.5703125" customWidth="1"/>
    <col min="1545" max="1545" width="16.7109375" customWidth="1"/>
    <col min="1546" max="1546" width="11.7109375" customWidth="1"/>
    <col min="1547" max="1547" width="11.28515625" customWidth="1"/>
    <col min="1797" max="1797" width="11.5703125" customWidth="1"/>
    <col min="1801" max="1801" width="16.7109375" customWidth="1"/>
    <col min="1802" max="1802" width="11.7109375" customWidth="1"/>
    <col min="1803" max="1803" width="11.28515625" customWidth="1"/>
    <col min="2053" max="2053" width="11.5703125" customWidth="1"/>
    <col min="2057" max="2057" width="16.7109375" customWidth="1"/>
    <col min="2058" max="2058" width="11.7109375" customWidth="1"/>
    <col min="2059" max="2059" width="11.28515625" customWidth="1"/>
    <col min="2309" max="2309" width="11.5703125" customWidth="1"/>
    <col min="2313" max="2313" width="16.7109375" customWidth="1"/>
    <col min="2314" max="2314" width="11.7109375" customWidth="1"/>
    <col min="2315" max="2315" width="11.28515625" customWidth="1"/>
    <col min="2565" max="2565" width="11.5703125" customWidth="1"/>
    <col min="2569" max="2569" width="16.7109375" customWidth="1"/>
    <col min="2570" max="2570" width="11.7109375" customWidth="1"/>
    <col min="2571" max="2571" width="11.28515625" customWidth="1"/>
    <col min="2821" max="2821" width="11.5703125" customWidth="1"/>
    <col min="2825" max="2825" width="16.7109375" customWidth="1"/>
    <col min="2826" max="2826" width="11.7109375" customWidth="1"/>
    <col min="2827" max="2827" width="11.28515625" customWidth="1"/>
    <col min="3077" max="3077" width="11.5703125" customWidth="1"/>
    <col min="3081" max="3081" width="16.7109375" customWidth="1"/>
    <col min="3082" max="3082" width="11.7109375" customWidth="1"/>
    <col min="3083" max="3083" width="11.28515625" customWidth="1"/>
    <col min="3333" max="3333" width="11.5703125" customWidth="1"/>
    <col min="3337" max="3337" width="16.7109375" customWidth="1"/>
    <col min="3338" max="3338" width="11.7109375" customWidth="1"/>
    <col min="3339" max="3339" width="11.28515625" customWidth="1"/>
    <col min="3589" max="3589" width="11.5703125" customWidth="1"/>
    <col min="3593" max="3593" width="16.7109375" customWidth="1"/>
    <col min="3594" max="3594" width="11.7109375" customWidth="1"/>
    <col min="3595" max="3595" width="11.28515625" customWidth="1"/>
    <col min="3845" max="3845" width="11.5703125" customWidth="1"/>
    <col min="3849" max="3849" width="16.7109375" customWidth="1"/>
    <col min="3850" max="3850" width="11.7109375" customWidth="1"/>
    <col min="3851" max="3851" width="11.28515625" customWidth="1"/>
    <col min="4101" max="4101" width="11.5703125" customWidth="1"/>
    <col min="4105" max="4105" width="16.7109375" customWidth="1"/>
    <col min="4106" max="4106" width="11.7109375" customWidth="1"/>
    <col min="4107" max="4107" width="11.28515625" customWidth="1"/>
    <col min="4357" max="4357" width="11.5703125" customWidth="1"/>
    <col min="4361" max="4361" width="16.7109375" customWidth="1"/>
    <col min="4362" max="4362" width="11.7109375" customWidth="1"/>
    <col min="4363" max="4363" width="11.28515625" customWidth="1"/>
    <col min="4613" max="4613" width="11.5703125" customWidth="1"/>
    <col min="4617" max="4617" width="16.7109375" customWidth="1"/>
    <col min="4618" max="4618" width="11.7109375" customWidth="1"/>
    <col min="4619" max="4619" width="11.28515625" customWidth="1"/>
    <col min="4869" max="4869" width="11.5703125" customWidth="1"/>
    <col min="4873" max="4873" width="16.7109375" customWidth="1"/>
    <col min="4874" max="4874" width="11.7109375" customWidth="1"/>
    <col min="4875" max="4875" width="11.28515625" customWidth="1"/>
    <col min="5125" max="5125" width="11.5703125" customWidth="1"/>
    <col min="5129" max="5129" width="16.7109375" customWidth="1"/>
    <col min="5130" max="5130" width="11.7109375" customWidth="1"/>
    <col min="5131" max="5131" width="11.28515625" customWidth="1"/>
    <col min="5381" max="5381" width="11.5703125" customWidth="1"/>
    <col min="5385" max="5385" width="16.7109375" customWidth="1"/>
    <col min="5386" max="5386" width="11.7109375" customWidth="1"/>
    <col min="5387" max="5387" width="11.28515625" customWidth="1"/>
    <col min="5637" max="5637" width="11.5703125" customWidth="1"/>
    <col min="5641" max="5641" width="16.7109375" customWidth="1"/>
    <col min="5642" max="5642" width="11.7109375" customWidth="1"/>
    <col min="5643" max="5643" width="11.28515625" customWidth="1"/>
    <col min="5893" max="5893" width="11.5703125" customWidth="1"/>
    <col min="5897" max="5897" width="16.7109375" customWidth="1"/>
    <col min="5898" max="5898" width="11.7109375" customWidth="1"/>
    <col min="5899" max="5899" width="11.28515625" customWidth="1"/>
    <col min="6149" max="6149" width="11.5703125" customWidth="1"/>
    <col min="6153" max="6153" width="16.7109375" customWidth="1"/>
    <col min="6154" max="6154" width="11.7109375" customWidth="1"/>
    <col min="6155" max="6155" width="11.28515625" customWidth="1"/>
    <col min="6405" max="6405" width="11.5703125" customWidth="1"/>
    <col min="6409" max="6409" width="16.7109375" customWidth="1"/>
    <col min="6410" max="6410" width="11.7109375" customWidth="1"/>
    <col min="6411" max="6411" width="11.28515625" customWidth="1"/>
    <col min="6661" max="6661" width="11.5703125" customWidth="1"/>
    <col min="6665" max="6665" width="16.7109375" customWidth="1"/>
    <col min="6666" max="6666" width="11.7109375" customWidth="1"/>
    <col min="6667" max="6667" width="11.28515625" customWidth="1"/>
    <col min="6917" max="6917" width="11.5703125" customWidth="1"/>
    <col min="6921" max="6921" width="16.7109375" customWidth="1"/>
    <col min="6922" max="6922" width="11.7109375" customWidth="1"/>
    <col min="6923" max="6923" width="11.28515625" customWidth="1"/>
    <col min="7173" max="7173" width="11.5703125" customWidth="1"/>
    <col min="7177" max="7177" width="16.7109375" customWidth="1"/>
    <col min="7178" max="7178" width="11.7109375" customWidth="1"/>
    <col min="7179" max="7179" width="11.28515625" customWidth="1"/>
    <col min="7429" max="7429" width="11.5703125" customWidth="1"/>
    <col min="7433" max="7433" width="16.7109375" customWidth="1"/>
    <col min="7434" max="7434" width="11.7109375" customWidth="1"/>
    <col min="7435" max="7435" width="11.28515625" customWidth="1"/>
    <col min="7685" max="7685" width="11.5703125" customWidth="1"/>
    <col min="7689" max="7689" width="16.7109375" customWidth="1"/>
    <col min="7690" max="7690" width="11.7109375" customWidth="1"/>
    <col min="7691" max="7691" width="11.28515625" customWidth="1"/>
    <col min="7941" max="7941" width="11.5703125" customWidth="1"/>
    <col min="7945" max="7945" width="16.7109375" customWidth="1"/>
    <col min="7946" max="7946" width="11.7109375" customWidth="1"/>
    <col min="7947" max="7947" width="11.28515625" customWidth="1"/>
    <col min="8197" max="8197" width="11.5703125" customWidth="1"/>
    <col min="8201" max="8201" width="16.7109375" customWidth="1"/>
    <col min="8202" max="8202" width="11.7109375" customWidth="1"/>
    <col min="8203" max="8203" width="11.28515625" customWidth="1"/>
    <col min="8453" max="8453" width="11.5703125" customWidth="1"/>
    <col min="8457" max="8457" width="16.7109375" customWidth="1"/>
    <col min="8458" max="8458" width="11.7109375" customWidth="1"/>
    <col min="8459" max="8459" width="11.28515625" customWidth="1"/>
    <col min="8709" max="8709" width="11.5703125" customWidth="1"/>
    <col min="8713" max="8713" width="16.7109375" customWidth="1"/>
    <col min="8714" max="8714" width="11.7109375" customWidth="1"/>
    <col min="8715" max="8715" width="11.28515625" customWidth="1"/>
    <col min="8965" max="8965" width="11.5703125" customWidth="1"/>
    <col min="8969" max="8969" width="16.7109375" customWidth="1"/>
    <col min="8970" max="8970" width="11.7109375" customWidth="1"/>
    <col min="8971" max="8971" width="11.28515625" customWidth="1"/>
    <col min="9221" max="9221" width="11.5703125" customWidth="1"/>
    <col min="9225" max="9225" width="16.7109375" customWidth="1"/>
    <col min="9226" max="9226" width="11.7109375" customWidth="1"/>
    <col min="9227" max="9227" width="11.28515625" customWidth="1"/>
    <col min="9477" max="9477" width="11.5703125" customWidth="1"/>
    <col min="9481" max="9481" width="16.7109375" customWidth="1"/>
    <col min="9482" max="9482" width="11.7109375" customWidth="1"/>
    <col min="9483" max="9483" width="11.28515625" customWidth="1"/>
    <col min="9733" max="9733" width="11.5703125" customWidth="1"/>
    <col min="9737" max="9737" width="16.7109375" customWidth="1"/>
    <col min="9738" max="9738" width="11.7109375" customWidth="1"/>
    <col min="9739" max="9739" width="11.28515625" customWidth="1"/>
    <col min="9989" max="9989" width="11.5703125" customWidth="1"/>
    <col min="9993" max="9993" width="16.7109375" customWidth="1"/>
    <col min="9994" max="9994" width="11.7109375" customWidth="1"/>
    <col min="9995" max="9995" width="11.28515625" customWidth="1"/>
    <col min="10245" max="10245" width="11.5703125" customWidth="1"/>
    <col min="10249" max="10249" width="16.7109375" customWidth="1"/>
    <col min="10250" max="10250" width="11.7109375" customWidth="1"/>
    <col min="10251" max="10251" width="11.28515625" customWidth="1"/>
    <col min="10501" max="10501" width="11.5703125" customWidth="1"/>
    <col min="10505" max="10505" width="16.7109375" customWidth="1"/>
    <col min="10506" max="10506" width="11.7109375" customWidth="1"/>
    <col min="10507" max="10507" width="11.28515625" customWidth="1"/>
    <col min="10757" max="10757" width="11.5703125" customWidth="1"/>
    <col min="10761" max="10761" width="16.7109375" customWidth="1"/>
    <col min="10762" max="10762" width="11.7109375" customWidth="1"/>
    <col min="10763" max="10763" width="11.28515625" customWidth="1"/>
    <col min="11013" max="11013" width="11.5703125" customWidth="1"/>
    <col min="11017" max="11017" width="16.7109375" customWidth="1"/>
    <col min="11018" max="11018" width="11.7109375" customWidth="1"/>
    <col min="11019" max="11019" width="11.28515625" customWidth="1"/>
    <col min="11269" max="11269" width="11.5703125" customWidth="1"/>
    <col min="11273" max="11273" width="16.7109375" customWidth="1"/>
    <col min="11274" max="11274" width="11.7109375" customWidth="1"/>
    <col min="11275" max="11275" width="11.28515625" customWidth="1"/>
    <col min="11525" max="11525" width="11.5703125" customWidth="1"/>
    <col min="11529" max="11529" width="16.7109375" customWidth="1"/>
    <col min="11530" max="11530" width="11.7109375" customWidth="1"/>
    <col min="11531" max="11531" width="11.28515625" customWidth="1"/>
    <col min="11781" max="11781" width="11.5703125" customWidth="1"/>
    <col min="11785" max="11785" width="16.7109375" customWidth="1"/>
    <col min="11786" max="11786" width="11.7109375" customWidth="1"/>
    <col min="11787" max="11787" width="11.28515625" customWidth="1"/>
    <col min="12037" max="12037" width="11.5703125" customWidth="1"/>
    <col min="12041" max="12041" width="16.7109375" customWidth="1"/>
    <col min="12042" max="12042" width="11.7109375" customWidth="1"/>
    <col min="12043" max="12043" width="11.28515625" customWidth="1"/>
    <col min="12293" max="12293" width="11.5703125" customWidth="1"/>
    <col min="12297" max="12297" width="16.7109375" customWidth="1"/>
    <col min="12298" max="12298" width="11.7109375" customWidth="1"/>
    <col min="12299" max="12299" width="11.28515625" customWidth="1"/>
    <col min="12549" max="12549" width="11.5703125" customWidth="1"/>
    <col min="12553" max="12553" width="16.7109375" customWidth="1"/>
    <col min="12554" max="12554" width="11.7109375" customWidth="1"/>
    <col min="12555" max="12555" width="11.28515625" customWidth="1"/>
    <col min="12805" max="12805" width="11.5703125" customWidth="1"/>
    <col min="12809" max="12809" width="16.7109375" customWidth="1"/>
    <col min="12810" max="12810" width="11.7109375" customWidth="1"/>
    <col min="12811" max="12811" width="11.28515625" customWidth="1"/>
    <col min="13061" max="13061" width="11.5703125" customWidth="1"/>
    <col min="13065" max="13065" width="16.7109375" customWidth="1"/>
    <col min="13066" max="13066" width="11.7109375" customWidth="1"/>
    <col min="13067" max="13067" width="11.28515625" customWidth="1"/>
    <col min="13317" max="13317" width="11.5703125" customWidth="1"/>
    <col min="13321" max="13321" width="16.7109375" customWidth="1"/>
    <col min="13322" max="13322" width="11.7109375" customWidth="1"/>
    <col min="13323" max="13323" width="11.28515625" customWidth="1"/>
    <col min="13573" max="13573" width="11.5703125" customWidth="1"/>
    <col min="13577" max="13577" width="16.7109375" customWidth="1"/>
    <col min="13578" max="13578" width="11.7109375" customWidth="1"/>
    <col min="13579" max="13579" width="11.28515625" customWidth="1"/>
    <col min="13829" max="13829" width="11.5703125" customWidth="1"/>
    <col min="13833" max="13833" width="16.7109375" customWidth="1"/>
    <col min="13834" max="13834" width="11.7109375" customWidth="1"/>
    <col min="13835" max="13835" width="11.28515625" customWidth="1"/>
    <col min="14085" max="14085" width="11.5703125" customWidth="1"/>
    <col min="14089" max="14089" width="16.7109375" customWidth="1"/>
    <col min="14090" max="14090" width="11.7109375" customWidth="1"/>
    <col min="14091" max="14091" width="11.28515625" customWidth="1"/>
    <col min="14341" max="14341" width="11.5703125" customWidth="1"/>
    <col min="14345" max="14345" width="16.7109375" customWidth="1"/>
    <col min="14346" max="14346" width="11.7109375" customWidth="1"/>
    <col min="14347" max="14347" width="11.28515625" customWidth="1"/>
    <col min="14597" max="14597" width="11.5703125" customWidth="1"/>
    <col min="14601" max="14601" width="16.7109375" customWidth="1"/>
    <col min="14602" max="14602" width="11.7109375" customWidth="1"/>
    <col min="14603" max="14603" width="11.28515625" customWidth="1"/>
    <col min="14853" max="14853" width="11.5703125" customWidth="1"/>
    <col min="14857" max="14857" width="16.7109375" customWidth="1"/>
    <col min="14858" max="14858" width="11.7109375" customWidth="1"/>
    <col min="14859" max="14859" width="11.28515625" customWidth="1"/>
    <col min="15109" max="15109" width="11.5703125" customWidth="1"/>
    <col min="15113" max="15113" width="16.7109375" customWidth="1"/>
    <col min="15114" max="15114" width="11.7109375" customWidth="1"/>
    <col min="15115" max="15115" width="11.28515625" customWidth="1"/>
    <col min="15365" max="15365" width="11.5703125" customWidth="1"/>
    <col min="15369" max="15369" width="16.7109375" customWidth="1"/>
    <col min="15370" max="15370" width="11.7109375" customWidth="1"/>
    <col min="15371" max="15371" width="11.28515625" customWidth="1"/>
    <col min="15621" max="15621" width="11.5703125" customWidth="1"/>
    <col min="15625" max="15625" width="16.7109375" customWidth="1"/>
    <col min="15626" max="15626" width="11.7109375" customWidth="1"/>
    <col min="15627" max="15627" width="11.28515625" customWidth="1"/>
    <col min="15877" max="15877" width="11.5703125" customWidth="1"/>
    <col min="15881" max="15881" width="16.7109375" customWidth="1"/>
    <col min="15882" max="15882" width="11.7109375" customWidth="1"/>
    <col min="15883" max="15883" width="11.28515625" customWidth="1"/>
    <col min="16133" max="16133" width="11.5703125" customWidth="1"/>
    <col min="16137" max="16137" width="16.7109375" customWidth="1"/>
    <col min="16138" max="16138" width="11.7109375" customWidth="1"/>
    <col min="16139" max="16139" width="11.28515625" customWidth="1"/>
  </cols>
  <sheetData>
    <row r="1" spans="1:13" s="222" customFormat="1">
      <c r="A1" s="344" t="s">
        <v>762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299"/>
      <c r="M1" s="299"/>
    </row>
    <row r="2" spans="1:13" s="222" customFormat="1">
      <c r="A2" s="344" t="s">
        <v>714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299"/>
      <c r="M2" s="299"/>
    </row>
    <row r="3" spans="1:13" s="222" customFormat="1">
      <c r="A3" s="252"/>
      <c r="B3" s="252"/>
      <c r="C3" s="252"/>
      <c r="D3" s="252"/>
      <c r="E3" s="345" t="s">
        <v>702</v>
      </c>
      <c r="F3" s="345"/>
      <c r="G3" s="345"/>
      <c r="H3" s="345"/>
      <c r="I3" s="345"/>
      <c r="J3" s="316"/>
      <c r="K3" s="316"/>
      <c r="L3" s="299"/>
      <c r="M3" s="299"/>
    </row>
    <row r="4" spans="1:13" s="222" customFormat="1">
      <c r="A4" s="344" t="str">
        <f>Пр.9!A4</f>
        <v>от 26.06.2020 г. № 348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299"/>
      <c r="M4" s="299"/>
    </row>
    <row r="5" spans="1:13" s="222" customForma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3" s="222" customForma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3" s="222" customFormat="1" ht="13.1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</row>
    <row r="8" spans="1:13" s="222" customFormat="1" ht="30.75" customHeight="1">
      <c r="A8" s="327" t="s">
        <v>771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299"/>
      <c r="M8" s="299"/>
    </row>
    <row r="9" spans="1:13" s="222" customFormat="1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</row>
    <row r="10" spans="1:13" s="222" customFormat="1" ht="15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130" t="s">
        <v>646</v>
      </c>
    </row>
    <row r="11" spans="1:13" s="222" customFormat="1" ht="13.15" customHeight="1">
      <c r="A11" s="328" t="s">
        <v>715</v>
      </c>
      <c r="B11" s="329"/>
      <c r="C11" s="325" t="s">
        <v>716</v>
      </c>
      <c r="D11" s="325" t="s">
        <v>717</v>
      </c>
      <c r="E11" s="325" t="s">
        <v>718</v>
      </c>
      <c r="F11" s="341" t="s">
        <v>719</v>
      </c>
      <c r="G11" s="342"/>
      <c r="H11" s="342"/>
      <c r="I11" s="343"/>
      <c r="J11" s="325" t="s">
        <v>720</v>
      </c>
      <c r="K11" s="325" t="s">
        <v>721</v>
      </c>
      <c r="L11" s="334" t="s">
        <v>698</v>
      </c>
      <c r="M11" s="336" t="s">
        <v>699</v>
      </c>
    </row>
    <row r="12" spans="1:13" s="222" customFormat="1" ht="78.599999999999994" customHeight="1">
      <c r="A12" s="330"/>
      <c r="B12" s="331"/>
      <c r="C12" s="340"/>
      <c r="D12" s="340"/>
      <c r="E12" s="340"/>
      <c r="F12" s="224" t="s">
        <v>722</v>
      </c>
      <c r="G12" s="225" t="s">
        <v>723</v>
      </c>
      <c r="H12" s="225" t="s">
        <v>44</v>
      </c>
      <c r="I12" s="225" t="s">
        <v>724</v>
      </c>
      <c r="J12" s="326"/>
      <c r="K12" s="326"/>
      <c r="L12" s="335"/>
      <c r="M12" s="335"/>
    </row>
    <row r="13" spans="1:13" s="5" customFormat="1" ht="46.9" customHeight="1">
      <c r="A13" s="332" t="s">
        <v>766</v>
      </c>
      <c r="B13" s="333"/>
      <c r="C13" s="282" t="s">
        <v>767</v>
      </c>
      <c r="D13" s="337" t="s">
        <v>136</v>
      </c>
      <c r="E13" s="283" t="str">
        <f>'пр.4 вед.стр.'!B305</f>
        <v>724</v>
      </c>
      <c r="F13" s="283" t="s">
        <v>765</v>
      </c>
      <c r="G13" s="41" t="s">
        <v>602</v>
      </c>
      <c r="H13" s="284">
        <v>410</v>
      </c>
      <c r="I13" s="284"/>
      <c r="J13" s="286">
        <f>'пр.4 вед.стр.'!G306</f>
        <v>1162.2</v>
      </c>
      <c r="K13" s="286">
        <f>'пр.4 вед.стр.'!H306</f>
        <v>1162.2</v>
      </c>
      <c r="L13" s="280">
        <f>K13-J13</f>
        <v>0</v>
      </c>
      <c r="M13" s="287">
        <f>K13/J13</f>
        <v>1</v>
      </c>
    </row>
    <row r="14" spans="1:13" s="5" customFormat="1" ht="49.9" customHeight="1">
      <c r="A14" s="332" t="s">
        <v>768</v>
      </c>
      <c r="B14" s="333"/>
      <c r="C14" s="282" t="s">
        <v>769</v>
      </c>
      <c r="D14" s="338"/>
      <c r="E14" s="283" t="str">
        <f>'пр.4 вед.стр.'!B306</f>
        <v>724</v>
      </c>
      <c r="F14" s="283" t="s">
        <v>765</v>
      </c>
      <c r="G14" s="285" t="str">
        <f>'пр.4 вед.стр.'!E308</f>
        <v>7Р 0 04 74100</v>
      </c>
      <c r="H14" s="284">
        <v>410</v>
      </c>
      <c r="I14" s="281">
        <v>0</v>
      </c>
      <c r="J14" s="286">
        <f>'пр.4 вед.стр.'!G309</f>
        <v>237.8</v>
      </c>
      <c r="K14" s="286">
        <f>'пр.4 вед.стр.'!H309</f>
        <v>237.8</v>
      </c>
      <c r="L14" s="280">
        <f>K14-J14</f>
        <v>0</v>
      </c>
      <c r="M14" s="287">
        <f>K14/J14</f>
        <v>1</v>
      </c>
    </row>
    <row r="15" spans="1:13" s="232" customFormat="1">
      <c r="A15" s="226"/>
      <c r="B15" s="227"/>
      <c r="C15" s="228"/>
      <c r="D15" s="228"/>
      <c r="E15" s="229" t="s">
        <v>725</v>
      </c>
      <c r="F15" s="230"/>
      <c r="G15" s="226"/>
      <c r="H15" s="228"/>
      <c r="I15" s="228"/>
      <c r="J15" s="231">
        <f>SUM(J13:J14)</f>
        <v>1400</v>
      </c>
      <c r="K15" s="231">
        <f>SUM(K13:K14)</f>
        <v>1400</v>
      </c>
      <c r="L15" s="231">
        <f>SUM(L14:L14)</f>
        <v>0</v>
      </c>
      <c r="M15" s="288">
        <f>K15/J15</f>
        <v>1</v>
      </c>
    </row>
  </sheetData>
  <mergeCells count="19">
    <mergeCell ref="A1:M1"/>
    <mergeCell ref="A2:M2"/>
    <mergeCell ref="E3:M3"/>
    <mergeCell ref="A4:M4"/>
    <mergeCell ref="A7:K7"/>
    <mergeCell ref="K11:K12"/>
    <mergeCell ref="A8:M8"/>
    <mergeCell ref="A11:B12"/>
    <mergeCell ref="A13:B13"/>
    <mergeCell ref="A14:B14"/>
    <mergeCell ref="L11:L12"/>
    <mergeCell ref="M11:M12"/>
    <mergeCell ref="D13:D14"/>
    <mergeCell ref="A9:K9"/>
    <mergeCell ref="C11:C12"/>
    <mergeCell ref="D11:D12"/>
    <mergeCell ref="E11:E12"/>
    <mergeCell ref="F11:I11"/>
    <mergeCell ref="J11:J1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V1042"/>
  <sheetViews>
    <sheetView view="pageBreakPreview" topLeftCell="A36" zoomScale="95" zoomScaleSheetLayoutView="95" workbookViewId="0">
      <selection sqref="A1:I41"/>
    </sheetView>
  </sheetViews>
  <sheetFormatPr defaultColWidth="9.140625" defaultRowHeight="12.75"/>
  <cols>
    <col min="1" max="1" width="60.85546875" style="11" customWidth="1"/>
    <col min="2" max="2" width="8.5703125" style="36" customWidth="1"/>
    <col min="3" max="3" width="6.42578125" style="36" customWidth="1"/>
    <col min="4" max="4" width="13.28515625" style="99" customWidth="1"/>
    <col min="5" max="5" width="7" style="99" customWidth="1"/>
    <col min="6" max="6" width="8.85546875" style="11" bestFit="1" customWidth="1"/>
    <col min="7" max="7" width="8.85546875" style="68" bestFit="1" customWidth="1"/>
    <col min="8" max="9" width="7.85546875" style="68" bestFit="1" customWidth="1"/>
    <col min="10" max="10" width="1.140625" style="68" customWidth="1"/>
    <col min="11" max="11" width="9.28515625" style="68" customWidth="1"/>
    <col min="12" max="13" width="9.140625" style="68"/>
    <col min="14" max="14" width="97.85546875" style="68" customWidth="1"/>
    <col min="15" max="22" width="9.140625" style="68"/>
    <col min="23" max="16384" width="9.140625" style="11"/>
  </cols>
  <sheetData>
    <row r="1" spans="1:17">
      <c r="A1" s="301" t="s">
        <v>736</v>
      </c>
      <c r="B1" s="301"/>
      <c r="C1" s="301"/>
      <c r="D1" s="301"/>
      <c r="E1" s="301"/>
      <c r="F1" s="301"/>
      <c r="G1" s="301"/>
      <c r="H1" s="301"/>
      <c r="I1" s="301"/>
    </row>
    <row r="2" spans="1:17">
      <c r="A2" s="300" t="str">
        <f>'пр2 по разд'!A2:D2</f>
        <v>к решению Собрания представителей Сусуманского городского округа</v>
      </c>
      <c r="B2" s="300"/>
      <c r="C2" s="300"/>
      <c r="D2" s="300"/>
      <c r="E2" s="300"/>
      <c r="F2" s="300"/>
      <c r="G2" s="300"/>
      <c r="H2" s="300"/>
      <c r="I2" s="300"/>
    </row>
    <row r="3" spans="1:17">
      <c r="A3" s="300" t="str">
        <f>'пр2 по разд'!A3:G3</f>
        <v>"Об исполнении бюджета муниципального образования "Сусуманский городской округ" за 2019 год"</v>
      </c>
      <c r="B3" s="300"/>
      <c r="C3" s="300"/>
      <c r="D3" s="300"/>
      <c r="E3" s="300"/>
      <c r="F3" s="300"/>
      <c r="G3" s="300"/>
      <c r="H3" s="300"/>
      <c r="I3" s="300"/>
    </row>
    <row r="4" spans="1:17">
      <c r="A4" s="300" t="s">
        <v>773</v>
      </c>
      <c r="B4" s="300"/>
      <c r="C4" s="300"/>
      <c r="D4" s="300"/>
      <c r="E4" s="300"/>
      <c r="F4" s="300"/>
      <c r="G4" s="300"/>
      <c r="H4" s="300"/>
      <c r="I4" s="300"/>
    </row>
    <row r="5" spans="1:17" ht="25.15" customHeight="1">
      <c r="A5" s="302" t="s">
        <v>704</v>
      </c>
      <c r="B5" s="303"/>
      <c r="C5" s="303"/>
      <c r="D5" s="303"/>
      <c r="E5" s="303"/>
      <c r="F5" s="303"/>
      <c r="G5" s="303"/>
      <c r="H5" s="303"/>
      <c r="I5" s="303"/>
    </row>
    <row r="6" spans="1:17" ht="26.25" customHeight="1">
      <c r="I6" s="99" t="s">
        <v>1</v>
      </c>
      <c r="K6" s="69"/>
      <c r="L6" s="69"/>
      <c r="M6" s="69"/>
      <c r="N6" s="69"/>
      <c r="O6" s="69"/>
      <c r="P6" s="69"/>
      <c r="Q6" s="69"/>
    </row>
    <row r="7" spans="1:17" ht="31.5">
      <c r="A7" s="24" t="s">
        <v>29</v>
      </c>
      <c r="B7" s="37" t="s">
        <v>42</v>
      </c>
      <c r="C7" s="37" t="s">
        <v>41</v>
      </c>
      <c r="D7" s="100" t="s">
        <v>43</v>
      </c>
      <c r="E7" s="100" t="s">
        <v>44</v>
      </c>
      <c r="F7" s="77" t="str">
        <f>'пр2 по разд'!D7</f>
        <v>Сумма</v>
      </c>
      <c r="G7" s="176" t="s">
        <v>697</v>
      </c>
      <c r="H7" s="176" t="s">
        <v>698</v>
      </c>
      <c r="I7" s="179" t="s">
        <v>699</v>
      </c>
      <c r="K7" s="69"/>
      <c r="L7" s="69"/>
      <c r="M7" s="71"/>
      <c r="N7" s="69"/>
      <c r="O7" s="69"/>
      <c r="P7" s="71"/>
      <c r="Q7" s="71"/>
    </row>
    <row r="8" spans="1:17">
      <c r="A8" s="24">
        <v>1</v>
      </c>
      <c r="B8" s="37">
        <v>3</v>
      </c>
      <c r="C8" s="37">
        <v>4</v>
      </c>
      <c r="D8" s="106">
        <v>5</v>
      </c>
      <c r="E8" s="106">
        <v>6</v>
      </c>
      <c r="F8" s="43">
        <v>7</v>
      </c>
      <c r="G8" s="24">
        <v>8</v>
      </c>
      <c r="H8" s="24">
        <v>9</v>
      </c>
      <c r="I8" s="180">
        <v>10</v>
      </c>
      <c r="K8" s="69"/>
      <c r="L8" s="69"/>
      <c r="M8" s="71"/>
      <c r="N8" s="69"/>
      <c r="O8" s="69"/>
      <c r="P8" s="71"/>
      <c r="Q8" s="71"/>
    </row>
    <row r="9" spans="1:17">
      <c r="A9" s="15" t="s">
        <v>2</v>
      </c>
      <c r="B9" s="31" t="s">
        <v>62</v>
      </c>
      <c r="C9" s="31" t="s">
        <v>33</v>
      </c>
      <c r="D9" s="97"/>
      <c r="E9" s="97"/>
      <c r="F9" s="143">
        <f>F10+F16+F37+F71+F96+F101</f>
        <v>178977.3</v>
      </c>
      <c r="G9" s="143">
        <f t="shared" ref="G9:H9" si="0">G10+G16+G37+G71+G96+G101</f>
        <v>176498.7</v>
      </c>
      <c r="H9" s="143">
        <f t="shared" si="0"/>
        <v>2478.6000000000031</v>
      </c>
      <c r="I9" s="190">
        <f>G9/F9*100</f>
        <v>98.615131639598999</v>
      </c>
      <c r="K9" s="69"/>
      <c r="L9" s="69"/>
      <c r="M9" s="71"/>
      <c r="N9" s="69"/>
      <c r="O9" s="69"/>
      <c r="P9" s="71"/>
      <c r="Q9" s="71"/>
    </row>
    <row r="10" spans="1:17" ht="25.5">
      <c r="A10" s="14" t="s">
        <v>14</v>
      </c>
      <c r="B10" s="31" t="s">
        <v>62</v>
      </c>
      <c r="C10" s="31" t="s">
        <v>63</v>
      </c>
      <c r="D10" s="100"/>
      <c r="E10" s="100"/>
      <c r="F10" s="143">
        <f>F11</f>
        <v>4834</v>
      </c>
      <c r="G10" s="143">
        <f t="shared" ref="G10:H14" si="1">G11</f>
        <v>4832.6000000000004</v>
      </c>
      <c r="H10" s="143">
        <f t="shared" si="1"/>
        <v>1.3999999999996362</v>
      </c>
      <c r="I10" s="190">
        <f t="shared" ref="I10:I73" si="2">G10/F10*100</f>
        <v>99.971038477451387</v>
      </c>
      <c r="K10" s="69"/>
      <c r="L10" s="69"/>
      <c r="M10" s="71"/>
      <c r="N10" s="69"/>
      <c r="O10" s="69"/>
      <c r="P10" s="71"/>
      <c r="Q10" s="71"/>
    </row>
    <row r="11" spans="1:17" ht="25.5">
      <c r="A11" s="16" t="s">
        <v>275</v>
      </c>
      <c r="B11" s="20" t="s">
        <v>62</v>
      </c>
      <c r="C11" s="20" t="s">
        <v>63</v>
      </c>
      <c r="D11" s="97" t="s">
        <v>173</v>
      </c>
      <c r="E11" s="97"/>
      <c r="F11" s="59">
        <f>F12</f>
        <v>4834</v>
      </c>
      <c r="G11" s="59">
        <f t="shared" si="1"/>
        <v>4832.6000000000004</v>
      </c>
      <c r="H11" s="59">
        <f t="shared" si="1"/>
        <v>1.3999999999996362</v>
      </c>
      <c r="I11" s="190">
        <f t="shared" si="2"/>
        <v>99.971038477451387</v>
      </c>
      <c r="K11" s="69"/>
      <c r="L11" s="69"/>
      <c r="M11" s="71"/>
      <c r="N11" s="69"/>
      <c r="O11" s="69"/>
      <c r="P11" s="71"/>
      <c r="Q11" s="71"/>
    </row>
    <row r="12" spans="1:17">
      <c r="A12" s="16" t="s">
        <v>15</v>
      </c>
      <c r="B12" s="20" t="s">
        <v>62</v>
      </c>
      <c r="C12" s="20" t="s">
        <v>63</v>
      </c>
      <c r="D12" s="97" t="s">
        <v>412</v>
      </c>
      <c r="E12" s="97"/>
      <c r="F12" s="59">
        <f>F13</f>
        <v>4834</v>
      </c>
      <c r="G12" s="59">
        <f t="shared" si="1"/>
        <v>4832.6000000000004</v>
      </c>
      <c r="H12" s="59">
        <f t="shared" si="1"/>
        <v>1.3999999999996362</v>
      </c>
      <c r="I12" s="190">
        <f t="shared" si="2"/>
        <v>99.971038477451387</v>
      </c>
      <c r="K12" s="69"/>
      <c r="L12" s="69"/>
      <c r="M12" s="71"/>
      <c r="N12" s="69"/>
      <c r="O12" s="69"/>
      <c r="P12" s="71"/>
      <c r="Q12" s="71"/>
    </row>
    <row r="13" spans="1:17" ht="25.5">
      <c r="A13" s="16" t="s">
        <v>175</v>
      </c>
      <c r="B13" s="20" t="s">
        <v>62</v>
      </c>
      <c r="C13" s="20" t="s">
        <v>63</v>
      </c>
      <c r="D13" s="97" t="s">
        <v>413</v>
      </c>
      <c r="E13" s="97"/>
      <c r="F13" s="59">
        <f>F14</f>
        <v>4834</v>
      </c>
      <c r="G13" s="59">
        <f t="shared" si="1"/>
        <v>4832.6000000000004</v>
      </c>
      <c r="H13" s="59">
        <f t="shared" si="1"/>
        <v>1.3999999999996362</v>
      </c>
      <c r="I13" s="190">
        <f t="shared" si="2"/>
        <v>99.971038477451387</v>
      </c>
      <c r="K13" s="69"/>
      <c r="L13" s="69"/>
      <c r="M13" s="71"/>
      <c r="N13" s="69"/>
      <c r="O13" s="69"/>
      <c r="P13" s="71"/>
      <c r="Q13" s="71"/>
    </row>
    <row r="14" spans="1:17" ht="51">
      <c r="A14" s="16" t="s">
        <v>90</v>
      </c>
      <c r="B14" s="20" t="s">
        <v>62</v>
      </c>
      <c r="C14" s="20" t="s">
        <v>63</v>
      </c>
      <c r="D14" s="97" t="s">
        <v>413</v>
      </c>
      <c r="E14" s="97" t="s">
        <v>91</v>
      </c>
      <c r="F14" s="59">
        <f>F15</f>
        <v>4834</v>
      </c>
      <c r="G14" s="59">
        <f t="shared" si="1"/>
        <v>4832.6000000000004</v>
      </c>
      <c r="H14" s="59">
        <f t="shared" si="1"/>
        <v>1.3999999999996362</v>
      </c>
      <c r="I14" s="190">
        <f t="shared" si="2"/>
        <v>99.971038477451387</v>
      </c>
      <c r="K14" s="69"/>
      <c r="L14" s="69"/>
      <c r="M14" s="71"/>
      <c r="N14" s="69"/>
      <c r="O14" s="69"/>
      <c r="P14" s="71"/>
      <c r="Q14" s="71"/>
    </row>
    <row r="15" spans="1:17" ht="25.5">
      <c r="A15" s="16" t="s">
        <v>87</v>
      </c>
      <c r="B15" s="20" t="s">
        <v>62</v>
      </c>
      <c r="C15" s="20" t="s">
        <v>63</v>
      </c>
      <c r="D15" s="97" t="s">
        <v>413</v>
      </c>
      <c r="E15" s="97" t="s">
        <v>88</v>
      </c>
      <c r="F15" s="59">
        <f>'пр.4 вед.стр.'!G16</f>
        <v>4834</v>
      </c>
      <c r="G15" s="59">
        <f>'пр.4 вед.стр.'!H16</f>
        <v>4832.6000000000004</v>
      </c>
      <c r="H15" s="59">
        <f>'пр.4 вед.стр.'!I16</f>
        <v>1.3999999999996362</v>
      </c>
      <c r="I15" s="190">
        <f t="shared" si="2"/>
        <v>99.971038477451387</v>
      </c>
      <c r="K15" s="69"/>
      <c r="L15" s="69"/>
      <c r="M15" s="71"/>
      <c r="N15" s="69"/>
      <c r="O15" s="69"/>
      <c r="P15" s="71"/>
      <c r="Q15" s="71"/>
    </row>
    <row r="16" spans="1:17" ht="38.25">
      <c r="A16" s="14" t="s">
        <v>18</v>
      </c>
      <c r="B16" s="31" t="s">
        <v>62</v>
      </c>
      <c r="C16" s="31" t="s">
        <v>66</v>
      </c>
      <c r="D16" s="100"/>
      <c r="E16" s="100"/>
      <c r="F16" s="143">
        <f>F17</f>
        <v>3940.8</v>
      </c>
      <c r="G16" s="143">
        <f t="shared" ref="G16:H16" si="3">G17</f>
        <v>3937.1000000000004</v>
      </c>
      <c r="H16" s="143">
        <f t="shared" si="3"/>
        <v>3.6999999999997417</v>
      </c>
      <c r="I16" s="190">
        <f t="shared" si="2"/>
        <v>99.906110434429564</v>
      </c>
      <c r="N16" s="69"/>
      <c r="O16" s="69"/>
      <c r="P16" s="71"/>
      <c r="Q16" s="71"/>
    </row>
    <row r="17" spans="1:17" ht="25.5">
      <c r="A17" s="16" t="s">
        <v>275</v>
      </c>
      <c r="B17" s="20" t="s">
        <v>62</v>
      </c>
      <c r="C17" s="20" t="s">
        <v>66</v>
      </c>
      <c r="D17" s="97" t="s">
        <v>173</v>
      </c>
      <c r="E17" s="97"/>
      <c r="F17" s="59">
        <f>F18+F22</f>
        <v>3940.8</v>
      </c>
      <c r="G17" s="59">
        <f t="shared" ref="G17:H17" si="4">G18+G22</f>
        <v>3937.1000000000004</v>
      </c>
      <c r="H17" s="59">
        <f t="shared" si="4"/>
        <v>3.6999999999997417</v>
      </c>
      <c r="I17" s="190">
        <f t="shared" si="2"/>
        <v>99.906110434429564</v>
      </c>
      <c r="N17" s="69"/>
      <c r="O17" s="69"/>
      <c r="P17" s="71"/>
      <c r="Q17" s="71"/>
    </row>
    <row r="18" spans="1:17" ht="25.5">
      <c r="A18" s="29" t="s">
        <v>135</v>
      </c>
      <c r="B18" s="20" t="s">
        <v>62</v>
      </c>
      <c r="C18" s="20" t="s">
        <v>66</v>
      </c>
      <c r="D18" s="97" t="s">
        <v>444</v>
      </c>
      <c r="E18" s="97"/>
      <c r="F18" s="59">
        <f>F19</f>
        <v>2370.6</v>
      </c>
      <c r="G18" s="59">
        <f t="shared" ref="G18:H20" si="5">G19</f>
        <v>2369</v>
      </c>
      <c r="H18" s="59">
        <f t="shared" si="5"/>
        <v>1.5999999999999091</v>
      </c>
      <c r="I18" s="190">
        <f t="shared" si="2"/>
        <v>99.932506538429095</v>
      </c>
      <c r="N18" s="69"/>
      <c r="O18" s="69"/>
      <c r="P18" s="71"/>
      <c r="Q18" s="71"/>
    </row>
    <row r="19" spans="1:17" ht="25.5">
      <c r="A19" s="16" t="s">
        <v>175</v>
      </c>
      <c r="B19" s="20" t="s">
        <v>62</v>
      </c>
      <c r="C19" s="20" t="s">
        <v>66</v>
      </c>
      <c r="D19" s="97" t="s">
        <v>445</v>
      </c>
      <c r="E19" s="97"/>
      <c r="F19" s="59">
        <f>F20</f>
        <v>2370.6</v>
      </c>
      <c r="G19" s="59">
        <f t="shared" si="5"/>
        <v>2369</v>
      </c>
      <c r="H19" s="59">
        <f t="shared" si="5"/>
        <v>1.5999999999999091</v>
      </c>
      <c r="I19" s="190">
        <f t="shared" si="2"/>
        <v>99.932506538429095</v>
      </c>
      <c r="N19" s="69"/>
      <c r="O19" s="69"/>
      <c r="P19" s="71"/>
      <c r="Q19" s="71"/>
    </row>
    <row r="20" spans="1:17" ht="51">
      <c r="A20" s="16" t="s">
        <v>90</v>
      </c>
      <c r="B20" s="20" t="s">
        <v>62</v>
      </c>
      <c r="C20" s="20" t="s">
        <v>66</v>
      </c>
      <c r="D20" s="97" t="s">
        <v>445</v>
      </c>
      <c r="E20" s="97" t="s">
        <v>91</v>
      </c>
      <c r="F20" s="59">
        <f>F21</f>
        <v>2370.6</v>
      </c>
      <c r="G20" s="59">
        <f t="shared" si="5"/>
        <v>2369</v>
      </c>
      <c r="H20" s="59">
        <f t="shared" si="5"/>
        <v>1.5999999999999091</v>
      </c>
      <c r="I20" s="190">
        <f t="shared" si="2"/>
        <v>99.932506538429095</v>
      </c>
      <c r="N20" s="69"/>
      <c r="O20" s="69"/>
      <c r="P20" s="71"/>
      <c r="Q20" s="71"/>
    </row>
    <row r="21" spans="1:17" ht="25.5">
      <c r="A21" s="16" t="s">
        <v>87</v>
      </c>
      <c r="B21" s="20" t="s">
        <v>62</v>
      </c>
      <c r="C21" s="20" t="s">
        <v>66</v>
      </c>
      <c r="D21" s="97" t="s">
        <v>445</v>
      </c>
      <c r="E21" s="97" t="s">
        <v>88</v>
      </c>
      <c r="F21" s="59">
        <f>'пр.4 вед.стр.'!G264</f>
        <v>2370.6</v>
      </c>
      <c r="G21" s="59">
        <f>'пр.4 вед.стр.'!H264</f>
        <v>2369</v>
      </c>
      <c r="H21" s="59">
        <f>'пр.4 вед.стр.'!I264</f>
        <v>1.5999999999999091</v>
      </c>
      <c r="I21" s="190">
        <f t="shared" si="2"/>
        <v>99.932506538429095</v>
      </c>
      <c r="N21" s="69"/>
      <c r="O21" s="69"/>
      <c r="P21" s="71"/>
      <c r="Q21" s="71"/>
    </row>
    <row r="22" spans="1:17">
      <c r="A22" s="16" t="s">
        <v>46</v>
      </c>
      <c r="B22" s="20" t="s">
        <v>62</v>
      </c>
      <c r="C22" s="20" t="s">
        <v>66</v>
      </c>
      <c r="D22" s="97" t="s">
        <v>179</v>
      </c>
      <c r="E22" s="97"/>
      <c r="F22" s="59">
        <f>F23+F26+F31+F34</f>
        <v>1570.2</v>
      </c>
      <c r="G22" s="59">
        <f t="shared" ref="G22:H22" si="6">G23+G26+G31+G34</f>
        <v>1568.1000000000001</v>
      </c>
      <c r="H22" s="59">
        <f t="shared" si="6"/>
        <v>2.0999999999998327</v>
      </c>
      <c r="I22" s="190">
        <f t="shared" si="2"/>
        <v>99.866259075277043</v>
      </c>
      <c r="N22" s="69"/>
      <c r="O22" s="69"/>
      <c r="P22" s="71"/>
      <c r="Q22" s="71"/>
    </row>
    <row r="23" spans="1:17" ht="25.5">
      <c r="A23" s="16" t="s">
        <v>175</v>
      </c>
      <c r="B23" s="20" t="s">
        <v>62</v>
      </c>
      <c r="C23" s="20" t="s">
        <v>66</v>
      </c>
      <c r="D23" s="97" t="s">
        <v>180</v>
      </c>
      <c r="E23" s="97"/>
      <c r="F23" s="59">
        <f>F24</f>
        <v>1058.5999999999999</v>
      </c>
      <c r="G23" s="59">
        <f t="shared" ref="G23:H24" si="7">G24</f>
        <v>1058.2</v>
      </c>
      <c r="H23" s="59">
        <f t="shared" si="7"/>
        <v>0.39999999999986358</v>
      </c>
      <c r="I23" s="190">
        <f t="shared" si="2"/>
        <v>99.962214245229561</v>
      </c>
      <c r="N23" s="69"/>
      <c r="O23" s="69"/>
      <c r="P23" s="71"/>
      <c r="Q23" s="71"/>
    </row>
    <row r="24" spans="1:17" ht="51">
      <c r="A24" s="16" t="s">
        <v>90</v>
      </c>
      <c r="B24" s="20" t="s">
        <v>62</v>
      </c>
      <c r="C24" s="20" t="s">
        <v>66</v>
      </c>
      <c r="D24" s="97" t="s">
        <v>180</v>
      </c>
      <c r="E24" s="97" t="s">
        <v>91</v>
      </c>
      <c r="F24" s="59">
        <f>F25</f>
        <v>1058.5999999999999</v>
      </c>
      <c r="G24" s="59">
        <f t="shared" si="7"/>
        <v>1058.2</v>
      </c>
      <c r="H24" s="59">
        <f t="shared" si="7"/>
        <v>0.39999999999986358</v>
      </c>
      <c r="I24" s="190">
        <f t="shared" si="2"/>
        <v>99.962214245229561</v>
      </c>
      <c r="N24" s="69"/>
      <c r="O24" s="69"/>
      <c r="P24" s="71"/>
      <c r="Q24" s="71"/>
    </row>
    <row r="25" spans="1:17" ht="13.15" customHeight="1">
      <c r="A25" s="16" t="s">
        <v>87</v>
      </c>
      <c r="B25" s="20" t="s">
        <v>62</v>
      </c>
      <c r="C25" s="20" t="s">
        <v>66</v>
      </c>
      <c r="D25" s="97" t="s">
        <v>180</v>
      </c>
      <c r="E25" s="97" t="s">
        <v>88</v>
      </c>
      <c r="F25" s="59">
        <f>'пр.4 вед.стр.'!G268</f>
        <v>1058.5999999999999</v>
      </c>
      <c r="G25" s="59">
        <f>'пр.4 вед.стр.'!H268</f>
        <v>1058.2</v>
      </c>
      <c r="H25" s="59">
        <f>'пр.4 вед.стр.'!I268</f>
        <v>0.39999999999986358</v>
      </c>
      <c r="I25" s="190">
        <f t="shared" si="2"/>
        <v>99.962214245229561</v>
      </c>
      <c r="N25" s="69"/>
      <c r="O25" s="69"/>
      <c r="P25" s="71"/>
      <c r="Q25" s="71"/>
    </row>
    <row r="26" spans="1:17">
      <c r="A26" s="16" t="s">
        <v>176</v>
      </c>
      <c r="B26" s="20" t="s">
        <v>62</v>
      </c>
      <c r="C26" s="20" t="s">
        <v>66</v>
      </c>
      <c r="D26" s="97" t="s">
        <v>181</v>
      </c>
      <c r="E26" s="97"/>
      <c r="F26" s="59">
        <f>F27+F29</f>
        <v>290.2</v>
      </c>
      <c r="G26" s="59">
        <f t="shared" ref="G26:H26" si="8">G27+G29</f>
        <v>288.70000000000005</v>
      </c>
      <c r="H26" s="59">
        <f t="shared" si="8"/>
        <v>1.4999999999999751</v>
      </c>
      <c r="I26" s="190">
        <f t="shared" si="2"/>
        <v>99.483115093039302</v>
      </c>
      <c r="N26" s="69"/>
      <c r="O26" s="69"/>
      <c r="P26" s="71"/>
      <c r="Q26" s="71"/>
    </row>
    <row r="27" spans="1:17" ht="25.5">
      <c r="A27" s="16" t="s">
        <v>331</v>
      </c>
      <c r="B27" s="20" t="s">
        <v>62</v>
      </c>
      <c r="C27" s="20" t="s">
        <v>66</v>
      </c>
      <c r="D27" s="97" t="s">
        <v>181</v>
      </c>
      <c r="E27" s="97" t="s">
        <v>92</v>
      </c>
      <c r="F27" s="59">
        <f>F28</f>
        <v>263.5</v>
      </c>
      <c r="G27" s="59">
        <f t="shared" ref="G27:H27" si="9">G28</f>
        <v>262.10000000000002</v>
      </c>
      <c r="H27" s="59">
        <f t="shared" si="9"/>
        <v>1.3999999999999773</v>
      </c>
      <c r="I27" s="190">
        <f t="shared" si="2"/>
        <v>99.468690702087287</v>
      </c>
      <c r="N27" s="69"/>
      <c r="O27" s="69"/>
      <c r="P27" s="71"/>
      <c r="Q27" s="71"/>
    </row>
    <row r="28" spans="1:17" ht="25.5">
      <c r="A28" s="16" t="s">
        <v>556</v>
      </c>
      <c r="B28" s="20" t="s">
        <v>62</v>
      </c>
      <c r="C28" s="20" t="s">
        <v>66</v>
      </c>
      <c r="D28" s="97" t="s">
        <v>181</v>
      </c>
      <c r="E28" s="97" t="s">
        <v>89</v>
      </c>
      <c r="F28" s="59">
        <f>'пр.4 вед.стр.'!G271</f>
        <v>263.5</v>
      </c>
      <c r="G28" s="59">
        <f>'пр.4 вед.стр.'!H271</f>
        <v>262.10000000000002</v>
      </c>
      <c r="H28" s="59">
        <f>'пр.4 вед.стр.'!I271</f>
        <v>1.3999999999999773</v>
      </c>
      <c r="I28" s="190">
        <f t="shared" si="2"/>
        <v>99.468690702087287</v>
      </c>
      <c r="N28" s="69"/>
      <c r="O28" s="69"/>
      <c r="P28" s="71"/>
      <c r="Q28" s="71"/>
    </row>
    <row r="29" spans="1:17">
      <c r="A29" s="16" t="str">
        <f>'пр.4 вед.стр.'!A272</f>
        <v>Социальное обеспечение и иные выплаты населению</v>
      </c>
      <c r="B29" s="20" t="s">
        <v>62</v>
      </c>
      <c r="C29" s="20" t="s">
        <v>66</v>
      </c>
      <c r="D29" s="97" t="s">
        <v>181</v>
      </c>
      <c r="E29" s="121">
        <f>'пр.4 вед.стр.'!F272</f>
        <v>300</v>
      </c>
      <c r="F29" s="59">
        <f>F30</f>
        <v>26.7</v>
      </c>
      <c r="G29" s="59">
        <f t="shared" ref="G29:H29" si="10">G30</f>
        <v>26.6</v>
      </c>
      <c r="H29" s="59">
        <f t="shared" si="10"/>
        <v>9.9999999999997868E-2</v>
      </c>
      <c r="I29" s="190">
        <f t="shared" si="2"/>
        <v>99.625468164794015</v>
      </c>
      <c r="N29" s="69"/>
      <c r="O29" s="69"/>
      <c r="P29" s="71"/>
      <c r="Q29" s="71"/>
    </row>
    <row r="30" spans="1:17" ht="25.5">
      <c r="A30" s="16" t="str">
        <f>'пр.4 вед.стр.'!A273</f>
        <v>Социальные выплаты гражданам, кроме публичных нормативных социальных выплат</v>
      </c>
      <c r="B30" s="20" t="s">
        <v>62</v>
      </c>
      <c r="C30" s="20" t="s">
        <v>66</v>
      </c>
      <c r="D30" s="97" t="s">
        <v>181</v>
      </c>
      <c r="E30" s="121">
        <f>'пр.4 вед.стр.'!F273</f>
        <v>320</v>
      </c>
      <c r="F30" s="59">
        <f>'пр.4 вед.стр.'!G273</f>
        <v>26.7</v>
      </c>
      <c r="G30" s="59">
        <f>'пр.4 вед.стр.'!H273</f>
        <v>26.6</v>
      </c>
      <c r="H30" s="59">
        <f>'пр.4 вед.стр.'!I273</f>
        <v>9.9999999999997868E-2</v>
      </c>
      <c r="I30" s="190">
        <f t="shared" si="2"/>
        <v>99.625468164794015</v>
      </c>
      <c r="N30" s="69"/>
      <c r="O30" s="69"/>
      <c r="P30" s="71"/>
      <c r="Q30" s="71"/>
    </row>
    <row r="31" spans="1:17" ht="51">
      <c r="A31" s="16" t="s">
        <v>202</v>
      </c>
      <c r="B31" s="20" t="s">
        <v>62</v>
      </c>
      <c r="C31" s="20" t="s">
        <v>66</v>
      </c>
      <c r="D31" s="97" t="s">
        <v>414</v>
      </c>
      <c r="E31" s="97"/>
      <c r="F31" s="59">
        <f>F32</f>
        <v>209</v>
      </c>
      <c r="G31" s="59">
        <f t="shared" ref="G31:H32" si="11">G32</f>
        <v>208.9</v>
      </c>
      <c r="H31" s="59">
        <f t="shared" si="11"/>
        <v>9.9999999999994316E-2</v>
      </c>
      <c r="I31" s="190">
        <f t="shared" si="2"/>
        <v>99.952153110047846</v>
      </c>
      <c r="N31" s="69"/>
      <c r="O31" s="69"/>
      <c r="P31" s="71"/>
      <c r="Q31" s="71"/>
    </row>
    <row r="32" spans="1:17" ht="51">
      <c r="A32" s="16" t="s">
        <v>90</v>
      </c>
      <c r="B32" s="20" t="s">
        <v>62</v>
      </c>
      <c r="C32" s="20" t="s">
        <v>66</v>
      </c>
      <c r="D32" s="97" t="s">
        <v>414</v>
      </c>
      <c r="E32" s="97" t="s">
        <v>91</v>
      </c>
      <c r="F32" s="59">
        <f>F33</f>
        <v>209</v>
      </c>
      <c r="G32" s="59">
        <f t="shared" si="11"/>
        <v>208.9</v>
      </c>
      <c r="H32" s="59">
        <f t="shared" si="11"/>
        <v>9.9999999999994316E-2</v>
      </c>
      <c r="I32" s="190">
        <f t="shared" si="2"/>
        <v>99.952153110047846</v>
      </c>
    </row>
    <row r="33" spans="1:14" ht="25.5">
      <c r="A33" s="16" t="s">
        <v>87</v>
      </c>
      <c r="B33" s="20" t="s">
        <v>62</v>
      </c>
      <c r="C33" s="20" t="s">
        <v>66</v>
      </c>
      <c r="D33" s="97" t="s">
        <v>414</v>
      </c>
      <c r="E33" s="97" t="s">
        <v>88</v>
      </c>
      <c r="F33" s="59">
        <f>'пр.4 вед.стр.'!G276</f>
        <v>209</v>
      </c>
      <c r="G33" s="59">
        <f>'пр.4 вед.стр.'!H276</f>
        <v>208.9</v>
      </c>
      <c r="H33" s="59">
        <f>'пр.4 вед.стр.'!I276</f>
        <v>9.9999999999994316E-2</v>
      </c>
      <c r="I33" s="190">
        <f t="shared" si="2"/>
        <v>99.952153110047846</v>
      </c>
    </row>
    <row r="34" spans="1:14">
      <c r="A34" s="16" t="str">
        <f>'пр.4 вед.стр.'!A277</f>
        <v>Другие гарантии и компенсации</v>
      </c>
      <c r="B34" s="20" t="s">
        <v>62</v>
      </c>
      <c r="C34" s="20" t="s">
        <v>66</v>
      </c>
      <c r="D34" s="97" t="str">
        <f>'пр.4 вед.стр.'!E277</f>
        <v>Р2 4 00 00560</v>
      </c>
      <c r="E34" s="97"/>
      <c r="F34" s="59">
        <f>F35</f>
        <v>12.4</v>
      </c>
      <c r="G34" s="59">
        <f t="shared" ref="G34:H35" si="12">G35</f>
        <v>12.3</v>
      </c>
      <c r="H34" s="59">
        <f t="shared" si="12"/>
        <v>9.9999999999999645E-2</v>
      </c>
      <c r="I34" s="190">
        <f t="shared" si="2"/>
        <v>99.193548387096769</v>
      </c>
    </row>
    <row r="35" spans="1:14" ht="51">
      <c r="A35" s="16" t="str">
        <f>'пр.4 вед.стр.'!A278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20" t="s">
        <v>62</v>
      </c>
      <c r="C35" s="20" t="s">
        <v>66</v>
      </c>
      <c r="D35" s="97" t="str">
        <f>'пр.4 вед.стр.'!E278</f>
        <v>Р2 4 00 00560</v>
      </c>
      <c r="E35" s="97" t="s">
        <v>91</v>
      </c>
      <c r="F35" s="59">
        <f>F36</f>
        <v>12.4</v>
      </c>
      <c r="G35" s="59">
        <f t="shared" si="12"/>
        <v>12.3</v>
      </c>
      <c r="H35" s="59">
        <f t="shared" si="12"/>
        <v>9.9999999999999645E-2</v>
      </c>
      <c r="I35" s="190">
        <f t="shared" si="2"/>
        <v>99.193548387096769</v>
      </c>
    </row>
    <row r="36" spans="1:14" ht="25.5">
      <c r="A36" s="16" t="str">
        <f>'пр.4 вед.стр.'!A279</f>
        <v>Расходы на выплаты персоналу государственных (муниципальных) органов</v>
      </c>
      <c r="B36" s="20" t="s">
        <v>62</v>
      </c>
      <c r="C36" s="20" t="s">
        <v>66</v>
      </c>
      <c r="D36" s="97" t="str">
        <f>'пр.4 вед.стр.'!E279</f>
        <v>Р2 4 00 00560</v>
      </c>
      <c r="E36" s="97" t="s">
        <v>88</v>
      </c>
      <c r="F36" s="59">
        <f>'пр.4 вед.стр.'!G279</f>
        <v>12.4</v>
      </c>
      <c r="G36" s="59">
        <f>'пр.4 вед.стр.'!H279</f>
        <v>12.3</v>
      </c>
      <c r="H36" s="59">
        <f>'пр.4 вед.стр.'!I279</f>
        <v>9.9999999999999645E-2</v>
      </c>
      <c r="I36" s="190">
        <f t="shared" si="2"/>
        <v>99.193548387096769</v>
      </c>
    </row>
    <row r="37" spans="1:14" ht="38.25">
      <c r="A37" s="15" t="s">
        <v>16</v>
      </c>
      <c r="B37" s="31" t="s">
        <v>62</v>
      </c>
      <c r="C37" s="31" t="s">
        <v>64</v>
      </c>
      <c r="D37" s="100"/>
      <c r="E37" s="100"/>
      <c r="F37" s="143">
        <f>F51+F38</f>
        <v>91729.7</v>
      </c>
      <c r="G37" s="143">
        <f t="shared" ref="G37:H37" si="13">G51+G38</f>
        <v>90500.900000000009</v>
      </c>
      <c r="H37" s="143">
        <f t="shared" si="13"/>
        <v>1228.8000000000022</v>
      </c>
      <c r="I37" s="190">
        <f t="shared" si="2"/>
        <v>98.660412058471806</v>
      </c>
      <c r="K37" s="69"/>
      <c r="L37" s="69"/>
      <c r="M37" s="71"/>
      <c r="N37" s="71"/>
    </row>
    <row r="38" spans="1:14" ht="38.25">
      <c r="A38" s="104" t="str">
        <f>'пр.4 вед.стр.'!A18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8" s="20" t="s">
        <v>62</v>
      </c>
      <c r="C38" s="20" t="s">
        <v>64</v>
      </c>
      <c r="D38" s="97" t="s">
        <v>416</v>
      </c>
      <c r="E38" s="97"/>
      <c r="F38" s="59">
        <f>F39</f>
        <v>3718.1</v>
      </c>
      <c r="G38" s="59">
        <f t="shared" ref="G38:H38" si="14">G39</f>
        <v>3376.6000000000004</v>
      </c>
      <c r="H38" s="59">
        <f t="shared" si="14"/>
        <v>341.49999999999972</v>
      </c>
      <c r="I38" s="190">
        <f t="shared" si="2"/>
        <v>90.815201312498331</v>
      </c>
      <c r="K38" s="69"/>
      <c r="L38" s="69"/>
      <c r="M38" s="71"/>
      <c r="N38" s="71"/>
    </row>
    <row r="39" spans="1:14" ht="25.5">
      <c r="A39" s="16" t="s">
        <v>417</v>
      </c>
      <c r="B39" s="20" t="s">
        <v>62</v>
      </c>
      <c r="C39" s="20" t="s">
        <v>64</v>
      </c>
      <c r="D39" s="97" t="s">
        <v>418</v>
      </c>
      <c r="E39" s="97"/>
      <c r="F39" s="59">
        <f>F40+F45+F48</f>
        <v>3718.1</v>
      </c>
      <c r="G39" s="59">
        <f t="shared" ref="G39:H39" si="15">G40+G45+G48</f>
        <v>3376.6000000000004</v>
      </c>
      <c r="H39" s="59">
        <f t="shared" si="15"/>
        <v>341.49999999999972</v>
      </c>
      <c r="I39" s="190">
        <f t="shared" si="2"/>
        <v>90.815201312498331</v>
      </c>
      <c r="K39" s="69"/>
      <c r="L39" s="69"/>
      <c r="M39" s="71"/>
      <c r="N39" s="71"/>
    </row>
    <row r="40" spans="1:14" ht="63.75">
      <c r="A40" s="16" t="s">
        <v>276</v>
      </c>
      <c r="B40" s="20" t="s">
        <v>62</v>
      </c>
      <c r="C40" s="20" t="s">
        <v>64</v>
      </c>
      <c r="D40" s="97" t="s">
        <v>419</v>
      </c>
      <c r="E40" s="97"/>
      <c r="F40" s="59">
        <f>F41+F43</f>
        <v>2175.3000000000002</v>
      </c>
      <c r="G40" s="59">
        <f t="shared" ref="G40:H40" si="16">G41+G43</f>
        <v>2105.8000000000002</v>
      </c>
      <c r="H40" s="59">
        <f t="shared" si="16"/>
        <v>69.499999999999886</v>
      </c>
      <c r="I40" s="190">
        <f t="shared" si="2"/>
        <v>96.805038385510045</v>
      </c>
      <c r="K40" s="69"/>
      <c r="L40" s="69"/>
      <c r="M40" s="71"/>
      <c r="N40" s="71"/>
    </row>
    <row r="41" spans="1:14" ht="51">
      <c r="A41" s="16" t="s">
        <v>90</v>
      </c>
      <c r="B41" s="20" t="s">
        <v>62</v>
      </c>
      <c r="C41" s="20" t="s">
        <v>64</v>
      </c>
      <c r="D41" s="97" t="s">
        <v>419</v>
      </c>
      <c r="E41" s="97" t="s">
        <v>91</v>
      </c>
      <c r="F41" s="59">
        <f>F42</f>
        <v>1090.2</v>
      </c>
      <c r="G41" s="59">
        <f t="shared" ref="G41:H41" si="17">G42</f>
        <v>1090.2</v>
      </c>
      <c r="H41" s="59">
        <f t="shared" si="17"/>
        <v>0</v>
      </c>
      <c r="I41" s="190">
        <f t="shared" si="2"/>
        <v>100</v>
      </c>
      <c r="K41" s="69"/>
      <c r="L41" s="69"/>
      <c r="M41" s="71"/>
      <c r="N41" s="71"/>
    </row>
    <row r="42" spans="1:14" ht="25.5">
      <c r="A42" s="16" t="s">
        <v>87</v>
      </c>
      <c r="B42" s="20" t="s">
        <v>62</v>
      </c>
      <c r="C42" s="20" t="s">
        <v>64</v>
      </c>
      <c r="D42" s="97" t="s">
        <v>419</v>
      </c>
      <c r="E42" s="97" t="s">
        <v>88</v>
      </c>
      <c r="F42" s="59">
        <f>'пр.4 вед.стр.'!G22</f>
        <v>1090.2</v>
      </c>
      <c r="G42" s="59">
        <f>'пр.4 вед.стр.'!H22</f>
        <v>1090.2</v>
      </c>
      <c r="H42" s="59">
        <f>'пр.4 вед.стр.'!I22</f>
        <v>0</v>
      </c>
      <c r="I42" s="190">
        <f t="shared" si="2"/>
        <v>100</v>
      </c>
      <c r="K42" s="69"/>
      <c r="L42" s="69"/>
      <c r="M42" s="71"/>
      <c r="N42" s="71"/>
    </row>
    <row r="43" spans="1:14" ht="25.5">
      <c r="A43" s="16" t="str">
        <f>'пр.4 вед.стр.'!A23</f>
        <v>Закупка товаров, работ и услуг для обеспечения государственных (муниципальных) нужд</v>
      </c>
      <c r="B43" s="20" t="s">
        <v>62</v>
      </c>
      <c r="C43" s="20" t="s">
        <v>64</v>
      </c>
      <c r="D43" s="97" t="s">
        <v>419</v>
      </c>
      <c r="E43" s="97" t="s">
        <v>92</v>
      </c>
      <c r="F43" s="59">
        <f>F44</f>
        <v>1085.0999999999999</v>
      </c>
      <c r="G43" s="59">
        <f t="shared" ref="G43:H43" si="18">G44</f>
        <v>1015.6</v>
      </c>
      <c r="H43" s="59">
        <f t="shared" si="18"/>
        <v>69.499999999999886</v>
      </c>
      <c r="I43" s="190">
        <f t="shared" si="2"/>
        <v>93.595060363100174</v>
      </c>
      <c r="K43" s="69"/>
      <c r="L43" s="69"/>
      <c r="M43" s="71"/>
      <c r="N43" s="71"/>
    </row>
    <row r="44" spans="1:14" ht="25.5">
      <c r="A44" s="16" t="s">
        <v>556</v>
      </c>
      <c r="B44" s="20" t="s">
        <v>62</v>
      </c>
      <c r="C44" s="20" t="s">
        <v>64</v>
      </c>
      <c r="D44" s="97" t="s">
        <v>419</v>
      </c>
      <c r="E44" s="97" t="s">
        <v>89</v>
      </c>
      <c r="F44" s="59">
        <f>'пр.4 вед.стр.'!G24</f>
        <v>1085.0999999999999</v>
      </c>
      <c r="G44" s="59">
        <f>'пр.4 вед.стр.'!H24</f>
        <v>1015.6</v>
      </c>
      <c r="H44" s="59">
        <f>'пр.4 вед.стр.'!I24</f>
        <v>69.499999999999886</v>
      </c>
      <c r="I44" s="190">
        <f t="shared" si="2"/>
        <v>93.595060363100174</v>
      </c>
      <c r="K44" s="69"/>
      <c r="L44" s="69"/>
      <c r="M44" s="71"/>
      <c r="N44" s="71"/>
    </row>
    <row r="45" spans="1:14" ht="25.5">
      <c r="A45" s="16" t="s">
        <v>175</v>
      </c>
      <c r="B45" s="20" t="s">
        <v>62</v>
      </c>
      <c r="C45" s="20" t="s">
        <v>64</v>
      </c>
      <c r="D45" s="97" t="s">
        <v>420</v>
      </c>
      <c r="E45" s="97"/>
      <c r="F45" s="59">
        <f>F46</f>
        <v>1494.6</v>
      </c>
      <c r="G45" s="59">
        <f t="shared" ref="G45:H46" si="19">G46</f>
        <v>1228.9000000000001</v>
      </c>
      <c r="H45" s="59">
        <f t="shared" si="19"/>
        <v>265.69999999999982</v>
      </c>
      <c r="I45" s="190">
        <f t="shared" si="2"/>
        <v>82.222668272447493</v>
      </c>
      <c r="K45" s="69"/>
      <c r="L45" s="69"/>
      <c r="M45" s="71"/>
      <c r="N45" s="71"/>
    </row>
    <row r="46" spans="1:14" ht="51">
      <c r="A46" s="16" t="s">
        <v>90</v>
      </c>
      <c r="B46" s="20" t="s">
        <v>62</v>
      </c>
      <c r="C46" s="20" t="s">
        <v>64</v>
      </c>
      <c r="D46" s="97" t="s">
        <v>420</v>
      </c>
      <c r="E46" s="97" t="s">
        <v>91</v>
      </c>
      <c r="F46" s="59">
        <f>F47</f>
        <v>1494.6</v>
      </c>
      <c r="G46" s="59">
        <f t="shared" si="19"/>
        <v>1228.9000000000001</v>
      </c>
      <c r="H46" s="59">
        <f t="shared" si="19"/>
        <v>265.69999999999982</v>
      </c>
      <c r="I46" s="190">
        <f t="shared" si="2"/>
        <v>82.222668272447493</v>
      </c>
      <c r="K46" s="69"/>
      <c r="L46" s="69"/>
      <c r="M46" s="71"/>
      <c r="N46" s="71"/>
    </row>
    <row r="47" spans="1:14" ht="25.5">
      <c r="A47" s="16" t="s">
        <v>87</v>
      </c>
      <c r="B47" s="20" t="s">
        <v>62</v>
      </c>
      <c r="C47" s="20" t="s">
        <v>64</v>
      </c>
      <c r="D47" s="97" t="s">
        <v>420</v>
      </c>
      <c r="E47" s="97" t="s">
        <v>88</v>
      </c>
      <c r="F47" s="59">
        <f>'пр.4 вед.стр.'!G27</f>
        <v>1494.6</v>
      </c>
      <c r="G47" s="59">
        <f>'пр.4 вед.стр.'!H27</f>
        <v>1228.9000000000001</v>
      </c>
      <c r="H47" s="59">
        <f>'пр.4 вед.стр.'!I27</f>
        <v>265.69999999999982</v>
      </c>
      <c r="I47" s="190">
        <f t="shared" si="2"/>
        <v>82.222668272447493</v>
      </c>
      <c r="K47" s="69"/>
      <c r="L47" s="69"/>
      <c r="M47" s="71"/>
      <c r="N47" s="71"/>
    </row>
    <row r="48" spans="1:14">
      <c r="A48" s="16" t="s">
        <v>176</v>
      </c>
      <c r="B48" s="20" t="s">
        <v>62</v>
      </c>
      <c r="C48" s="20" t="s">
        <v>64</v>
      </c>
      <c r="D48" s="97" t="s">
        <v>421</v>
      </c>
      <c r="E48" s="97"/>
      <c r="F48" s="59">
        <f>F49</f>
        <v>48.2</v>
      </c>
      <c r="G48" s="59">
        <f t="shared" ref="G48:H49" si="20">G49</f>
        <v>41.9</v>
      </c>
      <c r="H48" s="59">
        <f t="shared" si="20"/>
        <v>6.3000000000000043</v>
      </c>
      <c r="I48" s="190">
        <f t="shared" si="2"/>
        <v>86.92946058091286</v>
      </c>
      <c r="K48" s="69"/>
      <c r="L48" s="69"/>
      <c r="M48" s="71"/>
      <c r="N48" s="71"/>
    </row>
    <row r="49" spans="1:14" ht="25.5">
      <c r="A49" s="16" t="s">
        <v>331</v>
      </c>
      <c r="B49" s="20" t="s">
        <v>62</v>
      </c>
      <c r="C49" s="20" t="s">
        <v>64</v>
      </c>
      <c r="D49" s="97" t="s">
        <v>421</v>
      </c>
      <c r="E49" s="97" t="s">
        <v>92</v>
      </c>
      <c r="F49" s="59">
        <f>F50</f>
        <v>48.2</v>
      </c>
      <c r="G49" s="59">
        <f t="shared" si="20"/>
        <v>41.9</v>
      </c>
      <c r="H49" s="59">
        <f t="shared" si="20"/>
        <v>6.3000000000000043</v>
      </c>
      <c r="I49" s="190">
        <f t="shared" si="2"/>
        <v>86.92946058091286</v>
      </c>
      <c r="K49" s="69"/>
      <c r="L49" s="69"/>
      <c r="M49" s="71"/>
      <c r="N49" s="71"/>
    </row>
    <row r="50" spans="1:14" ht="25.5">
      <c r="A50" s="16" t="s">
        <v>556</v>
      </c>
      <c r="B50" s="20" t="s">
        <v>62</v>
      </c>
      <c r="C50" s="20" t="s">
        <v>64</v>
      </c>
      <c r="D50" s="97" t="s">
        <v>421</v>
      </c>
      <c r="E50" s="97" t="s">
        <v>89</v>
      </c>
      <c r="F50" s="59">
        <f>'пр.4 вед.стр.'!G30</f>
        <v>48.2</v>
      </c>
      <c r="G50" s="59">
        <f>'пр.4 вед.стр.'!H30</f>
        <v>41.9</v>
      </c>
      <c r="H50" s="59">
        <f>'пр.4 вед.стр.'!I30</f>
        <v>6.3000000000000043</v>
      </c>
      <c r="I50" s="190">
        <f t="shared" si="2"/>
        <v>86.92946058091286</v>
      </c>
      <c r="K50" s="69"/>
      <c r="L50" s="69"/>
      <c r="M50" s="71"/>
      <c r="N50" s="71"/>
    </row>
    <row r="51" spans="1:14" ht="25.5">
      <c r="A51" s="16" t="s">
        <v>275</v>
      </c>
      <c r="B51" s="20" t="s">
        <v>62</v>
      </c>
      <c r="C51" s="20" t="s">
        <v>64</v>
      </c>
      <c r="D51" s="97" t="s">
        <v>173</v>
      </c>
      <c r="E51" s="97"/>
      <c r="F51" s="59">
        <f>F52</f>
        <v>88011.599999999991</v>
      </c>
      <c r="G51" s="59">
        <f t="shared" ref="G51:H51" si="21">G52</f>
        <v>87124.3</v>
      </c>
      <c r="H51" s="59">
        <f t="shared" si="21"/>
        <v>887.30000000000246</v>
      </c>
      <c r="I51" s="190">
        <f t="shared" si="2"/>
        <v>98.991837439610237</v>
      </c>
      <c r="K51" s="69"/>
      <c r="L51" s="69"/>
      <c r="M51" s="71"/>
      <c r="N51" s="71"/>
    </row>
    <row r="52" spans="1:14">
      <c r="A52" s="16" t="s">
        <v>46</v>
      </c>
      <c r="B52" s="20" t="s">
        <v>62</v>
      </c>
      <c r="C52" s="20" t="s">
        <v>64</v>
      </c>
      <c r="D52" s="97" t="s">
        <v>179</v>
      </c>
      <c r="E52" s="97"/>
      <c r="F52" s="59">
        <f>F53+F56+F62+F65+F68</f>
        <v>88011.599999999991</v>
      </c>
      <c r="G52" s="59">
        <f t="shared" ref="G52:H52" si="22">G53+G56+G62+G65+G68</f>
        <v>87124.3</v>
      </c>
      <c r="H52" s="59">
        <f t="shared" si="22"/>
        <v>887.30000000000246</v>
      </c>
      <c r="I52" s="190">
        <f t="shared" si="2"/>
        <v>98.991837439610237</v>
      </c>
      <c r="K52" s="69"/>
      <c r="L52" s="69"/>
      <c r="M52" s="71"/>
      <c r="N52" s="71"/>
    </row>
    <row r="53" spans="1:14" ht="25.5">
      <c r="A53" s="16" t="s">
        <v>175</v>
      </c>
      <c r="B53" s="20" t="s">
        <v>62</v>
      </c>
      <c r="C53" s="20" t="s">
        <v>64</v>
      </c>
      <c r="D53" s="97" t="s">
        <v>180</v>
      </c>
      <c r="E53" s="97"/>
      <c r="F53" s="59">
        <f>F54</f>
        <v>78208.7</v>
      </c>
      <c r="G53" s="59">
        <f t="shared" ref="G53:H54" si="23">G54</f>
        <v>77718.399999999994</v>
      </c>
      <c r="H53" s="59">
        <f t="shared" si="23"/>
        <v>490.30000000000291</v>
      </c>
      <c r="I53" s="190">
        <f t="shared" si="2"/>
        <v>99.373087648816565</v>
      </c>
      <c r="K53" s="69"/>
      <c r="L53" s="69"/>
      <c r="M53" s="71"/>
      <c r="N53" s="71"/>
    </row>
    <row r="54" spans="1:14" ht="51">
      <c r="A54" s="16" t="s">
        <v>90</v>
      </c>
      <c r="B54" s="20" t="s">
        <v>62</v>
      </c>
      <c r="C54" s="20" t="s">
        <v>64</v>
      </c>
      <c r="D54" s="97" t="s">
        <v>180</v>
      </c>
      <c r="E54" s="97" t="s">
        <v>91</v>
      </c>
      <c r="F54" s="59">
        <f>F55</f>
        <v>78208.7</v>
      </c>
      <c r="G54" s="59">
        <f t="shared" si="23"/>
        <v>77718.399999999994</v>
      </c>
      <c r="H54" s="59">
        <f t="shared" si="23"/>
        <v>490.30000000000291</v>
      </c>
      <c r="I54" s="190">
        <f t="shared" si="2"/>
        <v>99.373087648816565</v>
      </c>
      <c r="K54" s="69"/>
      <c r="L54" s="69"/>
      <c r="M54" s="71"/>
      <c r="N54" s="71"/>
    </row>
    <row r="55" spans="1:14" ht="25.5">
      <c r="A55" s="16" t="s">
        <v>87</v>
      </c>
      <c r="B55" s="20" t="s">
        <v>62</v>
      </c>
      <c r="C55" s="20" t="s">
        <v>64</v>
      </c>
      <c r="D55" s="97" t="s">
        <v>180</v>
      </c>
      <c r="E55" s="97" t="s">
        <v>88</v>
      </c>
      <c r="F55" s="59">
        <f>'пр.4 вед.стр.'!G35</f>
        <v>78208.7</v>
      </c>
      <c r="G55" s="59">
        <f>'пр.4 вед.стр.'!H35</f>
        <v>77718.399999999994</v>
      </c>
      <c r="H55" s="59">
        <f>'пр.4 вед.стр.'!I35</f>
        <v>490.30000000000291</v>
      </c>
      <c r="I55" s="190">
        <f t="shared" si="2"/>
        <v>99.373087648816565</v>
      </c>
      <c r="K55" s="69"/>
      <c r="L55" s="69"/>
      <c r="M55" s="71"/>
      <c r="N55" s="71"/>
    </row>
    <row r="56" spans="1:14">
      <c r="A56" s="16" t="s">
        <v>176</v>
      </c>
      <c r="B56" s="20" t="s">
        <v>62</v>
      </c>
      <c r="C56" s="20" t="s">
        <v>64</v>
      </c>
      <c r="D56" s="97" t="s">
        <v>181</v>
      </c>
      <c r="E56" s="97"/>
      <c r="F56" s="59">
        <f>F57+F59</f>
        <v>6444.9</v>
      </c>
      <c r="G56" s="59">
        <f t="shared" ref="G56:H56" si="24">G57+G59</f>
        <v>6117.6</v>
      </c>
      <c r="H56" s="59">
        <f t="shared" si="24"/>
        <v>327.29999999999961</v>
      </c>
      <c r="I56" s="190">
        <f t="shared" si="2"/>
        <v>94.921565889307828</v>
      </c>
      <c r="K56" s="69"/>
      <c r="L56" s="69"/>
      <c r="M56" s="71"/>
      <c r="N56" s="71"/>
    </row>
    <row r="57" spans="1:14" ht="25.5">
      <c r="A57" s="16" t="s">
        <v>331</v>
      </c>
      <c r="B57" s="20" t="s">
        <v>62</v>
      </c>
      <c r="C57" s="20" t="s">
        <v>64</v>
      </c>
      <c r="D57" s="97" t="s">
        <v>181</v>
      </c>
      <c r="E57" s="97" t="s">
        <v>92</v>
      </c>
      <c r="F57" s="59">
        <f>F58</f>
        <v>3958.3999999999996</v>
      </c>
      <c r="G57" s="59">
        <f t="shared" ref="G57:H57" si="25">G58</f>
        <v>3863.7</v>
      </c>
      <c r="H57" s="59">
        <f t="shared" si="25"/>
        <v>94.699999999999818</v>
      </c>
      <c r="I57" s="190">
        <f t="shared" si="2"/>
        <v>97.607619240097009</v>
      </c>
      <c r="K57" s="69"/>
      <c r="L57" s="69"/>
      <c r="M57" s="71"/>
      <c r="N57" s="71"/>
    </row>
    <row r="58" spans="1:14" ht="25.5">
      <c r="A58" s="16" t="s">
        <v>556</v>
      </c>
      <c r="B58" s="20" t="s">
        <v>62</v>
      </c>
      <c r="C58" s="20" t="s">
        <v>64</v>
      </c>
      <c r="D58" s="97" t="s">
        <v>181</v>
      </c>
      <c r="E58" s="97" t="s">
        <v>89</v>
      </c>
      <c r="F58" s="59">
        <f>'пр.4 вед.стр.'!G40+'пр.4 вед.стр.'!G878</f>
        <v>3958.3999999999996</v>
      </c>
      <c r="G58" s="59">
        <f>'пр.4 вед.стр.'!H40+'пр.4 вед.стр.'!H878</f>
        <v>3863.7</v>
      </c>
      <c r="H58" s="59">
        <f>'пр.4 вед.стр.'!I40+'пр.4 вед.стр.'!I878</f>
        <v>94.699999999999818</v>
      </c>
      <c r="I58" s="190">
        <f t="shared" si="2"/>
        <v>97.607619240097009</v>
      </c>
      <c r="K58" s="69"/>
      <c r="L58" s="69"/>
      <c r="M58" s="71"/>
      <c r="N58" s="71"/>
    </row>
    <row r="59" spans="1:14">
      <c r="A59" s="16" t="s">
        <v>108</v>
      </c>
      <c r="B59" s="20" t="s">
        <v>62</v>
      </c>
      <c r="C59" s="20" t="s">
        <v>64</v>
      </c>
      <c r="D59" s="97" t="s">
        <v>181</v>
      </c>
      <c r="E59" s="97" t="s">
        <v>109</v>
      </c>
      <c r="F59" s="59">
        <f>F61+F60</f>
        <v>2486.5</v>
      </c>
      <c r="G59" s="59">
        <f t="shared" ref="G59:H59" si="26">G61+G60</f>
        <v>2253.9</v>
      </c>
      <c r="H59" s="59">
        <f t="shared" si="26"/>
        <v>232.59999999999982</v>
      </c>
      <c r="I59" s="190">
        <f t="shared" si="2"/>
        <v>90.645485622360752</v>
      </c>
      <c r="K59" s="69"/>
      <c r="L59" s="69"/>
      <c r="M59" s="71"/>
      <c r="N59" s="71"/>
    </row>
    <row r="60" spans="1:14">
      <c r="A60" s="16" t="str">
        <f>'пр.4 вед.стр.'!A43</f>
        <v>Исполнение судебных актов</v>
      </c>
      <c r="B60" s="20" t="s">
        <v>62</v>
      </c>
      <c r="C60" s="20" t="s">
        <v>64</v>
      </c>
      <c r="D60" s="97" t="s">
        <v>181</v>
      </c>
      <c r="E60" s="121">
        <f>'пр.4 вед.стр.'!F43</f>
        <v>830</v>
      </c>
      <c r="F60" s="59">
        <f>'пр.4 вед.стр.'!G43+'пр.4 вед.стр.'!G880</f>
        <v>1847.8</v>
      </c>
      <c r="G60" s="59">
        <f>'пр.4 вед.стр.'!H43+'пр.4 вед.стр.'!H880</f>
        <v>1627.6</v>
      </c>
      <c r="H60" s="59">
        <f>'пр.4 вед.стр.'!I43+'пр.4 вед.стр.'!I880</f>
        <v>220.19999999999993</v>
      </c>
      <c r="I60" s="190">
        <f t="shared" si="2"/>
        <v>88.083125879424173</v>
      </c>
      <c r="K60" s="69"/>
      <c r="L60" s="69"/>
      <c r="M60" s="71"/>
      <c r="N60" s="71"/>
    </row>
    <row r="61" spans="1:14">
      <c r="A61" s="16" t="s">
        <v>111</v>
      </c>
      <c r="B61" s="20" t="s">
        <v>62</v>
      </c>
      <c r="C61" s="20" t="s">
        <v>64</v>
      </c>
      <c r="D61" s="97" t="s">
        <v>181</v>
      </c>
      <c r="E61" s="97" t="s">
        <v>112</v>
      </c>
      <c r="F61" s="59">
        <f>'пр.4 вед.стр.'!G44+'пр.4 вед.стр.'!G881</f>
        <v>638.69999999999993</v>
      </c>
      <c r="G61" s="59">
        <f>'пр.4 вед.стр.'!H44+'пр.4 вед.стр.'!H881</f>
        <v>626.30000000000007</v>
      </c>
      <c r="H61" s="59">
        <f>'пр.4 вед.стр.'!I44+'пр.4 вед.стр.'!I881</f>
        <v>12.399999999999888</v>
      </c>
      <c r="I61" s="190">
        <f t="shared" si="2"/>
        <v>98.058556442774403</v>
      </c>
      <c r="K61" s="69"/>
      <c r="L61" s="69"/>
      <c r="M61" s="71"/>
      <c r="N61" s="71"/>
    </row>
    <row r="62" spans="1:14" ht="51">
      <c r="A62" s="16" t="s">
        <v>202</v>
      </c>
      <c r="B62" s="20" t="s">
        <v>62</v>
      </c>
      <c r="C62" s="20" t="s">
        <v>64</v>
      </c>
      <c r="D62" s="97" t="s">
        <v>414</v>
      </c>
      <c r="E62" s="97"/>
      <c r="F62" s="59">
        <f>F63</f>
        <v>1850</v>
      </c>
      <c r="G62" s="59">
        <f t="shared" ref="G62:H63" si="27">G63</f>
        <v>1845.7</v>
      </c>
      <c r="H62" s="59">
        <f t="shared" si="27"/>
        <v>4.2999999999999545</v>
      </c>
      <c r="I62" s="190">
        <f t="shared" si="2"/>
        <v>99.767567567567568</v>
      </c>
      <c r="K62" s="69"/>
      <c r="L62" s="69"/>
      <c r="M62" s="71"/>
      <c r="N62" s="71"/>
    </row>
    <row r="63" spans="1:14" ht="51">
      <c r="A63" s="16" t="s">
        <v>90</v>
      </c>
      <c r="B63" s="20" t="s">
        <v>62</v>
      </c>
      <c r="C63" s="20" t="s">
        <v>64</v>
      </c>
      <c r="D63" s="97" t="s">
        <v>414</v>
      </c>
      <c r="E63" s="97" t="s">
        <v>91</v>
      </c>
      <c r="F63" s="59">
        <f>F64</f>
        <v>1850</v>
      </c>
      <c r="G63" s="59">
        <f t="shared" si="27"/>
        <v>1845.7</v>
      </c>
      <c r="H63" s="59">
        <f t="shared" si="27"/>
        <v>4.2999999999999545</v>
      </c>
      <c r="I63" s="190">
        <f t="shared" si="2"/>
        <v>99.767567567567568</v>
      </c>
      <c r="K63" s="69"/>
      <c r="L63" s="69"/>
      <c r="M63" s="71"/>
      <c r="N63" s="71"/>
    </row>
    <row r="64" spans="1:14" ht="25.5">
      <c r="A64" s="16" t="s">
        <v>87</v>
      </c>
      <c r="B64" s="20" t="s">
        <v>62</v>
      </c>
      <c r="C64" s="20" t="s">
        <v>64</v>
      </c>
      <c r="D64" s="97" t="s">
        <v>414</v>
      </c>
      <c r="E64" s="97" t="s">
        <v>88</v>
      </c>
      <c r="F64" s="59">
        <f>'пр.4 вед.стр.'!G47</f>
        <v>1850</v>
      </c>
      <c r="G64" s="59">
        <f>'пр.4 вед.стр.'!H47</f>
        <v>1845.7</v>
      </c>
      <c r="H64" s="59">
        <f>'пр.4 вед.стр.'!I47</f>
        <v>4.2999999999999545</v>
      </c>
      <c r="I64" s="190">
        <f t="shared" si="2"/>
        <v>99.767567567567568</v>
      </c>
      <c r="K64" s="69"/>
      <c r="L64" s="69"/>
      <c r="M64" s="71"/>
      <c r="N64" s="71"/>
    </row>
    <row r="65" spans="1:14">
      <c r="A65" s="16" t="s">
        <v>174</v>
      </c>
      <c r="B65" s="20" t="s">
        <v>62</v>
      </c>
      <c r="C65" s="20" t="s">
        <v>64</v>
      </c>
      <c r="D65" s="97" t="s">
        <v>415</v>
      </c>
      <c r="E65" s="97"/>
      <c r="F65" s="59">
        <f>F66</f>
        <v>115</v>
      </c>
      <c r="G65" s="59">
        <f t="shared" ref="G65:H66" si="28">G66</f>
        <v>49.6</v>
      </c>
      <c r="H65" s="59">
        <f t="shared" si="28"/>
        <v>65.400000000000006</v>
      </c>
      <c r="I65" s="190">
        <f t="shared" si="2"/>
        <v>43.130434782608695</v>
      </c>
      <c r="K65" s="69"/>
      <c r="L65" s="69"/>
      <c r="M65" s="71"/>
      <c r="N65" s="71"/>
    </row>
    <row r="66" spans="1:14" ht="51">
      <c r="A66" s="16" t="s">
        <v>90</v>
      </c>
      <c r="B66" s="20" t="s">
        <v>62</v>
      </c>
      <c r="C66" s="20" t="s">
        <v>64</v>
      </c>
      <c r="D66" s="97" t="s">
        <v>415</v>
      </c>
      <c r="E66" s="97" t="s">
        <v>91</v>
      </c>
      <c r="F66" s="59">
        <f>F67</f>
        <v>115</v>
      </c>
      <c r="G66" s="59">
        <f t="shared" si="28"/>
        <v>49.6</v>
      </c>
      <c r="H66" s="59">
        <f t="shared" si="28"/>
        <v>65.400000000000006</v>
      </c>
      <c r="I66" s="190">
        <f t="shared" si="2"/>
        <v>43.130434782608695</v>
      </c>
      <c r="K66" s="69"/>
      <c r="L66" s="69"/>
      <c r="M66" s="71"/>
      <c r="N66" s="71"/>
    </row>
    <row r="67" spans="1:14" ht="25.5">
      <c r="A67" s="16" t="s">
        <v>87</v>
      </c>
      <c r="B67" s="20" t="s">
        <v>62</v>
      </c>
      <c r="C67" s="20" t="s">
        <v>64</v>
      </c>
      <c r="D67" s="97" t="s">
        <v>415</v>
      </c>
      <c r="E67" s="97" t="s">
        <v>88</v>
      </c>
      <c r="F67" s="59">
        <f>'пр.4 вед.стр.'!G50</f>
        <v>115</v>
      </c>
      <c r="G67" s="59">
        <f>'пр.4 вед.стр.'!H50</f>
        <v>49.6</v>
      </c>
      <c r="H67" s="59">
        <f>'пр.4 вед.стр.'!I50</f>
        <v>65.400000000000006</v>
      </c>
      <c r="I67" s="190">
        <f t="shared" si="2"/>
        <v>43.130434782608695</v>
      </c>
      <c r="K67" s="69"/>
      <c r="L67" s="69"/>
      <c r="M67" s="71"/>
      <c r="N67" s="71"/>
    </row>
    <row r="68" spans="1:14" ht="38.25">
      <c r="A68" s="16" t="str">
        <f>'пр.4 вед.стр.'!A36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68" s="20" t="s">
        <v>62</v>
      </c>
      <c r="C68" s="20" t="s">
        <v>64</v>
      </c>
      <c r="D68" s="97" t="str">
        <f>'пр.4 вед.стр.'!E36</f>
        <v>Р2 4 00 55500</v>
      </c>
      <c r="E68" s="97"/>
      <c r="F68" s="59">
        <f>F69</f>
        <v>1393</v>
      </c>
      <c r="G68" s="59">
        <f t="shared" ref="G68:H69" si="29">G69</f>
        <v>1393</v>
      </c>
      <c r="H68" s="59">
        <f t="shared" si="29"/>
        <v>0</v>
      </c>
      <c r="I68" s="190">
        <f t="shared" si="2"/>
        <v>100</v>
      </c>
      <c r="K68" s="69"/>
      <c r="L68" s="69"/>
      <c r="M68" s="71"/>
      <c r="N68" s="71"/>
    </row>
    <row r="69" spans="1:14" ht="51">
      <c r="A69" s="16" t="str">
        <f>'пр.4 вед.стр.'!A37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9" s="20" t="s">
        <v>62</v>
      </c>
      <c r="C69" s="20" t="s">
        <v>64</v>
      </c>
      <c r="D69" s="97" t="str">
        <f>'пр.4 вед.стр.'!E37</f>
        <v>Р2 4 00 55500</v>
      </c>
      <c r="E69" s="97" t="s">
        <v>91</v>
      </c>
      <c r="F69" s="59">
        <f>F70</f>
        <v>1393</v>
      </c>
      <c r="G69" s="59">
        <f t="shared" si="29"/>
        <v>1393</v>
      </c>
      <c r="H69" s="59">
        <f t="shared" si="29"/>
        <v>0</v>
      </c>
      <c r="I69" s="190">
        <f t="shared" si="2"/>
        <v>100</v>
      </c>
      <c r="K69" s="69"/>
      <c r="L69" s="69"/>
      <c r="M69" s="71"/>
      <c r="N69" s="71"/>
    </row>
    <row r="70" spans="1:14" ht="25.5">
      <c r="A70" s="16" t="str">
        <f>'пр.4 вед.стр.'!A38</f>
        <v>Расходы на выплаты персоналу государственных (муниципальных) органов</v>
      </c>
      <c r="B70" s="20" t="s">
        <v>62</v>
      </c>
      <c r="C70" s="20" t="s">
        <v>64</v>
      </c>
      <c r="D70" s="97" t="str">
        <f>'пр.4 вед.стр.'!E38</f>
        <v>Р2 4 00 55500</v>
      </c>
      <c r="E70" s="97" t="s">
        <v>88</v>
      </c>
      <c r="F70" s="59">
        <f>'пр.4 вед.стр.'!G38</f>
        <v>1393</v>
      </c>
      <c r="G70" s="59">
        <f>'пр.4 вед.стр.'!H38</f>
        <v>1393</v>
      </c>
      <c r="H70" s="59">
        <f>'пр.4 вед.стр.'!I38</f>
        <v>0</v>
      </c>
      <c r="I70" s="190">
        <f t="shared" si="2"/>
        <v>100</v>
      </c>
      <c r="K70" s="69"/>
      <c r="L70" s="69"/>
      <c r="M70" s="71"/>
      <c r="N70" s="71"/>
    </row>
    <row r="71" spans="1:14" ht="25.5">
      <c r="A71" s="15" t="s">
        <v>75</v>
      </c>
      <c r="B71" s="31" t="s">
        <v>62</v>
      </c>
      <c r="C71" s="31" t="s">
        <v>72</v>
      </c>
      <c r="D71" s="100"/>
      <c r="E71" s="100"/>
      <c r="F71" s="143">
        <f>F72</f>
        <v>22543.399999999998</v>
      </c>
      <c r="G71" s="143">
        <f t="shared" ref="G71:H71" si="30">G72</f>
        <v>22178.899999999998</v>
      </c>
      <c r="H71" s="143">
        <f t="shared" si="30"/>
        <v>364.50000000000227</v>
      </c>
      <c r="I71" s="190">
        <f t="shared" si="2"/>
        <v>98.383118784211788</v>
      </c>
    </row>
    <row r="72" spans="1:14" ht="25.5">
      <c r="A72" s="16" t="s">
        <v>275</v>
      </c>
      <c r="B72" s="20" t="s">
        <v>62</v>
      </c>
      <c r="C72" s="20" t="s">
        <v>72</v>
      </c>
      <c r="D72" s="97" t="s">
        <v>173</v>
      </c>
      <c r="E72" s="97"/>
      <c r="F72" s="59">
        <f>F73+F77</f>
        <v>22543.399999999998</v>
      </c>
      <c r="G72" s="59">
        <f t="shared" ref="G72:H72" si="31">G73+G77</f>
        <v>22178.899999999998</v>
      </c>
      <c r="H72" s="59">
        <f t="shared" si="31"/>
        <v>364.50000000000227</v>
      </c>
      <c r="I72" s="190">
        <f t="shared" si="2"/>
        <v>98.383118784211788</v>
      </c>
    </row>
    <row r="73" spans="1:14" ht="25.5">
      <c r="A73" s="29" t="s">
        <v>19</v>
      </c>
      <c r="B73" s="20" t="s">
        <v>62</v>
      </c>
      <c r="C73" s="20" t="s">
        <v>72</v>
      </c>
      <c r="D73" s="97" t="s">
        <v>177</v>
      </c>
      <c r="E73" s="97"/>
      <c r="F73" s="59">
        <f>F74</f>
        <v>3837</v>
      </c>
      <c r="G73" s="59">
        <f t="shared" ref="G73:H75" si="32">G74</f>
        <v>3835.7</v>
      </c>
      <c r="H73" s="59">
        <f t="shared" si="32"/>
        <v>1.3000000000001819</v>
      </c>
      <c r="I73" s="190">
        <f t="shared" si="2"/>
        <v>99.966119364086524</v>
      </c>
    </row>
    <row r="74" spans="1:14" ht="25.5">
      <c r="A74" s="16" t="s">
        <v>175</v>
      </c>
      <c r="B74" s="20" t="s">
        <v>62</v>
      </c>
      <c r="C74" s="20" t="s">
        <v>72</v>
      </c>
      <c r="D74" s="97" t="s">
        <v>178</v>
      </c>
      <c r="E74" s="97"/>
      <c r="F74" s="59">
        <f>F75</f>
        <v>3837</v>
      </c>
      <c r="G74" s="59">
        <f t="shared" si="32"/>
        <v>3835.7</v>
      </c>
      <c r="H74" s="59">
        <f t="shared" si="32"/>
        <v>1.3000000000001819</v>
      </c>
      <c r="I74" s="190">
        <f t="shared" ref="I74:I137" si="33">G74/F74*100</f>
        <v>99.966119364086524</v>
      </c>
    </row>
    <row r="75" spans="1:14" ht="51">
      <c r="A75" s="16" t="s">
        <v>90</v>
      </c>
      <c r="B75" s="20" t="s">
        <v>62</v>
      </c>
      <c r="C75" s="20" t="s">
        <v>72</v>
      </c>
      <c r="D75" s="97" t="s">
        <v>178</v>
      </c>
      <c r="E75" s="97" t="s">
        <v>91</v>
      </c>
      <c r="F75" s="59">
        <f>F76</f>
        <v>3837</v>
      </c>
      <c r="G75" s="59">
        <f t="shared" si="32"/>
        <v>3835.7</v>
      </c>
      <c r="H75" s="59">
        <f t="shared" si="32"/>
        <v>1.3000000000001819</v>
      </c>
      <c r="I75" s="190">
        <f t="shared" si="33"/>
        <v>99.966119364086524</v>
      </c>
    </row>
    <row r="76" spans="1:14" ht="25.5">
      <c r="A76" s="16" t="s">
        <v>87</v>
      </c>
      <c r="B76" s="20" t="s">
        <v>62</v>
      </c>
      <c r="C76" s="20" t="s">
        <v>72</v>
      </c>
      <c r="D76" s="97" t="s">
        <v>178</v>
      </c>
      <c r="E76" s="97" t="s">
        <v>88</v>
      </c>
      <c r="F76" s="59">
        <f>'пр.4 вед.стр.'!G285</f>
        <v>3837</v>
      </c>
      <c r="G76" s="59">
        <f>'пр.4 вед.стр.'!H285</f>
        <v>3835.7</v>
      </c>
      <c r="H76" s="59">
        <f>'пр.4 вед.стр.'!I285</f>
        <v>1.3000000000001819</v>
      </c>
      <c r="I76" s="190">
        <f t="shared" si="33"/>
        <v>99.966119364086524</v>
      </c>
    </row>
    <row r="77" spans="1:14">
      <c r="A77" s="16" t="s">
        <v>46</v>
      </c>
      <c r="B77" s="20" t="s">
        <v>62</v>
      </c>
      <c r="C77" s="20" t="s">
        <v>72</v>
      </c>
      <c r="D77" s="97" t="s">
        <v>179</v>
      </c>
      <c r="E77" s="97"/>
      <c r="F77" s="59">
        <f>F78+F81+F87+F90+F93</f>
        <v>18706.399999999998</v>
      </c>
      <c r="G77" s="59">
        <f t="shared" ref="G77:H77" si="34">G78+G81+G87+G90+G93</f>
        <v>18343.199999999997</v>
      </c>
      <c r="H77" s="59">
        <f t="shared" si="34"/>
        <v>363.20000000000209</v>
      </c>
      <c r="I77" s="190">
        <f t="shared" si="33"/>
        <v>98.058418509173322</v>
      </c>
    </row>
    <row r="78" spans="1:14" ht="25.5">
      <c r="A78" s="16" t="s">
        <v>175</v>
      </c>
      <c r="B78" s="20" t="s">
        <v>62</v>
      </c>
      <c r="C78" s="20" t="s">
        <v>72</v>
      </c>
      <c r="D78" s="97" t="s">
        <v>180</v>
      </c>
      <c r="E78" s="97"/>
      <c r="F78" s="59">
        <f>F79</f>
        <v>17131.8</v>
      </c>
      <c r="G78" s="59">
        <f t="shared" ref="G78:H79" si="35">G79</f>
        <v>16810.099999999999</v>
      </c>
      <c r="H78" s="59">
        <f t="shared" si="35"/>
        <v>321.70000000000221</v>
      </c>
      <c r="I78" s="190">
        <f t="shared" si="33"/>
        <v>98.122205489207204</v>
      </c>
    </row>
    <row r="79" spans="1:14" ht="51">
      <c r="A79" s="16" t="s">
        <v>90</v>
      </c>
      <c r="B79" s="20" t="s">
        <v>62</v>
      </c>
      <c r="C79" s="20" t="s">
        <v>72</v>
      </c>
      <c r="D79" s="97" t="s">
        <v>180</v>
      </c>
      <c r="E79" s="97" t="s">
        <v>91</v>
      </c>
      <c r="F79" s="59">
        <f>F80</f>
        <v>17131.8</v>
      </c>
      <c r="G79" s="59">
        <f t="shared" si="35"/>
        <v>16810.099999999999</v>
      </c>
      <c r="H79" s="59">
        <f t="shared" si="35"/>
        <v>321.70000000000221</v>
      </c>
      <c r="I79" s="190">
        <f t="shared" si="33"/>
        <v>98.122205489207204</v>
      </c>
    </row>
    <row r="80" spans="1:14" ht="25.5">
      <c r="A80" s="16" t="s">
        <v>87</v>
      </c>
      <c r="B80" s="20" t="s">
        <v>62</v>
      </c>
      <c r="C80" s="20" t="s">
        <v>72</v>
      </c>
      <c r="D80" s="97" t="s">
        <v>180</v>
      </c>
      <c r="E80" s="97" t="s">
        <v>88</v>
      </c>
      <c r="F80" s="59">
        <f>'пр.4 вед.стр.'!G230+'пр.4 вед.стр.'!G289</f>
        <v>17131.8</v>
      </c>
      <c r="G80" s="59">
        <f>'пр.4 вед.стр.'!H230+'пр.4 вед.стр.'!H289</f>
        <v>16810.099999999999</v>
      </c>
      <c r="H80" s="59">
        <f>'пр.4 вед.стр.'!I230+'пр.4 вед.стр.'!I289</f>
        <v>321.70000000000221</v>
      </c>
      <c r="I80" s="190">
        <f t="shared" si="33"/>
        <v>98.122205489207204</v>
      </c>
    </row>
    <row r="81" spans="1:9">
      <c r="A81" s="16" t="s">
        <v>176</v>
      </c>
      <c r="B81" s="20" t="s">
        <v>62</v>
      </c>
      <c r="C81" s="20" t="s">
        <v>72</v>
      </c>
      <c r="D81" s="97" t="s">
        <v>181</v>
      </c>
      <c r="E81" s="97"/>
      <c r="F81" s="59">
        <f>F82+F84</f>
        <v>945.3</v>
      </c>
      <c r="G81" s="59">
        <f t="shared" ref="G81:H81" si="36">G82+G84</f>
        <v>904.1</v>
      </c>
      <c r="H81" s="59">
        <f t="shared" si="36"/>
        <v>41.19999999999991</v>
      </c>
      <c r="I81" s="190">
        <f t="shared" si="33"/>
        <v>95.641595260763793</v>
      </c>
    </row>
    <row r="82" spans="1:9" ht="25.5">
      <c r="A82" s="16" t="s">
        <v>331</v>
      </c>
      <c r="B82" s="20" t="s">
        <v>62</v>
      </c>
      <c r="C82" s="20" t="s">
        <v>72</v>
      </c>
      <c r="D82" s="97" t="s">
        <v>181</v>
      </c>
      <c r="E82" s="97" t="s">
        <v>92</v>
      </c>
      <c r="F82" s="59">
        <f>F83</f>
        <v>941.5</v>
      </c>
      <c r="G82" s="59">
        <f t="shared" ref="G82:H82" si="37">G83</f>
        <v>903.30000000000007</v>
      </c>
      <c r="H82" s="59">
        <f t="shared" si="37"/>
        <v>38.19999999999991</v>
      </c>
      <c r="I82" s="190">
        <f t="shared" si="33"/>
        <v>95.942644715878927</v>
      </c>
    </row>
    <row r="83" spans="1:9" ht="25.5">
      <c r="A83" s="16" t="s">
        <v>556</v>
      </c>
      <c r="B83" s="20" t="s">
        <v>62</v>
      </c>
      <c r="C83" s="20" t="s">
        <v>72</v>
      </c>
      <c r="D83" s="97" t="s">
        <v>181</v>
      </c>
      <c r="E83" s="97" t="s">
        <v>89</v>
      </c>
      <c r="F83" s="59">
        <f>'пр.4 вед.стр.'!G236+'пр.4 вед.стр.'!G292</f>
        <v>941.5</v>
      </c>
      <c r="G83" s="59">
        <f>'пр.4 вед.стр.'!H236+'пр.4 вед.стр.'!H292</f>
        <v>903.30000000000007</v>
      </c>
      <c r="H83" s="59">
        <f>'пр.4 вед.стр.'!I236+'пр.4 вед.стр.'!I292</f>
        <v>38.19999999999991</v>
      </c>
      <c r="I83" s="190">
        <f t="shared" si="33"/>
        <v>95.942644715878927</v>
      </c>
    </row>
    <row r="84" spans="1:9">
      <c r="A84" s="16" t="s">
        <v>108</v>
      </c>
      <c r="B84" s="20" t="s">
        <v>62</v>
      </c>
      <c r="C84" s="20" t="s">
        <v>72</v>
      </c>
      <c r="D84" s="97" t="s">
        <v>181</v>
      </c>
      <c r="E84" s="97" t="s">
        <v>109</v>
      </c>
      <c r="F84" s="59">
        <f>F86+F85</f>
        <v>3.8</v>
      </c>
      <c r="G84" s="59">
        <f t="shared" ref="G84:H84" si="38">G86+G85</f>
        <v>0.8</v>
      </c>
      <c r="H84" s="59">
        <f t="shared" si="38"/>
        <v>3</v>
      </c>
      <c r="I84" s="190">
        <f t="shared" si="33"/>
        <v>21.05263157894737</v>
      </c>
    </row>
    <row r="85" spans="1:9">
      <c r="A85" s="16" t="str">
        <f>'пр.4 вед.стр.'!A238</f>
        <v>Исполнение судебных актов</v>
      </c>
      <c r="B85" s="20" t="s">
        <v>62</v>
      </c>
      <c r="C85" s="20" t="s">
        <v>72</v>
      </c>
      <c r="D85" s="97" t="s">
        <v>181</v>
      </c>
      <c r="E85" s="121">
        <f>'пр.4 вед.стр.'!F238</f>
        <v>830</v>
      </c>
      <c r="F85" s="59">
        <f>'пр.4 вед.стр.'!G238</f>
        <v>1.3</v>
      </c>
      <c r="G85" s="59">
        <f>'пр.4 вед.стр.'!H238</f>
        <v>0</v>
      </c>
      <c r="H85" s="59">
        <f>'пр.4 вед.стр.'!I238</f>
        <v>1.3</v>
      </c>
      <c r="I85" s="190">
        <f t="shared" si="33"/>
        <v>0</v>
      </c>
    </row>
    <row r="86" spans="1:9">
      <c r="A86" s="16" t="s">
        <v>111</v>
      </c>
      <c r="B86" s="20" t="s">
        <v>62</v>
      </c>
      <c r="C86" s="20" t="s">
        <v>72</v>
      </c>
      <c r="D86" s="97" t="s">
        <v>181</v>
      </c>
      <c r="E86" s="97" t="s">
        <v>112</v>
      </c>
      <c r="F86" s="59">
        <f>'пр.4 вед.стр.'!G239</f>
        <v>2.5</v>
      </c>
      <c r="G86" s="59">
        <f>'пр.4 вед.стр.'!H239</f>
        <v>0.8</v>
      </c>
      <c r="H86" s="59">
        <f>'пр.4 вед.стр.'!I239</f>
        <v>1.7</v>
      </c>
      <c r="I86" s="190">
        <f t="shared" si="33"/>
        <v>32</v>
      </c>
    </row>
    <row r="87" spans="1:9" ht="51">
      <c r="A87" s="16" t="s">
        <v>202</v>
      </c>
      <c r="B87" s="20" t="s">
        <v>62</v>
      </c>
      <c r="C87" s="20" t="s">
        <v>72</v>
      </c>
      <c r="D87" s="97" t="s">
        <v>414</v>
      </c>
      <c r="E87" s="97"/>
      <c r="F87" s="59">
        <f>F88</f>
        <v>333.5</v>
      </c>
      <c r="G87" s="59">
        <f t="shared" ref="G87:H88" si="39">G88</f>
        <v>333.40000000000003</v>
      </c>
      <c r="H87" s="59">
        <f t="shared" si="39"/>
        <v>9.9999999999965894E-2</v>
      </c>
      <c r="I87" s="190">
        <f t="shared" si="33"/>
        <v>99.970014992503749</v>
      </c>
    </row>
    <row r="88" spans="1:9" ht="51">
      <c r="A88" s="16" t="s">
        <v>90</v>
      </c>
      <c r="B88" s="20" t="s">
        <v>62</v>
      </c>
      <c r="C88" s="20" t="s">
        <v>72</v>
      </c>
      <c r="D88" s="97" t="s">
        <v>414</v>
      </c>
      <c r="E88" s="97" t="s">
        <v>91</v>
      </c>
      <c r="F88" s="59">
        <f>F89</f>
        <v>333.5</v>
      </c>
      <c r="G88" s="59">
        <f t="shared" si="39"/>
        <v>333.40000000000003</v>
      </c>
      <c r="H88" s="59">
        <f t="shared" si="39"/>
        <v>9.9999999999965894E-2</v>
      </c>
      <c r="I88" s="190">
        <f t="shared" si="33"/>
        <v>99.970014992503749</v>
      </c>
    </row>
    <row r="89" spans="1:9" ht="25.5">
      <c r="A89" s="16" t="s">
        <v>87</v>
      </c>
      <c r="B89" s="20" t="s">
        <v>62</v>
      </c>
      <c r="C89" s="20" t="s">
        <v>72</v>
      </c>
      <c r="D89" s="97" t="s">
        <v>414</v>
      </c>
      <c r="E89" s="97" t="s">
        <v>88</v>
      </c>
      <c r="F89" s="59">
        <f>'пр.4 вед.стр.'!G242+'пр.4 вед.стр.'!G295</f>
        <v>333.5</v>
      </c>
      <c r="G89" s="59">
        <f>'пр.4 вед.стр.'!H242+'пр.4 вед.стр.'!H295</f>
        <v>333.40000000000003</v>
      </c>
      <c r="H89" s="59">
        <f>'пр.4 вед.стр.'!I242+'пр.4 вед.стр.'!I295</f>
        <v>9.9999999999965894E-2</v>
      </c>
      <c r="I89" s="190">
        <f t="shared" si="33"/>
        <v>99.970014992503749</v>
      </c>
    </row>
    <row r="90" spans="1:9">
      <c r="A90" s="16" t="s">
        <v>174</v>
      </c>
      <c r="B90" s="20" t="s">
        <v>62</v>
      </c>
      <c r="C90" s="20" t="s">
        <v>72</v>
      </c>
      <c r="D90" s="97" t="s">
        <v>415</v>
      </c>
      <c r="E90" s="97"/>
      <c r="F90" s="59">
        <f>F91</f>
        <v>42.8</v>
      </c>
      <c r="G90" s="59">
        <f t="shared" ref="G90:H91" si="40">G91</f>
        <v>42.6</v>
      </c>
      <c r="H90" s="59">
        <f t="shared" si="40"/>
        <v>0.19999999999999929</v>
      </c>
      <c r="I90" s="190">
        <f t="shared" si="33"/>
        <v>99.532710280373834</v>
      </c>
    </row>
    <row r="91" spans="1:9" ht="51">
      <c r="A91" s="16" t="s">
        <v>90</v>
      </c>
      <c r="B91" s="20" t="s">
        <v>62</v>
      </c>
      <c r="C91" s="20" t="s">
        <v>72</v>
      </c>
      <c r="D91" s="97" t="s">
        <v>415</v>
      </c>
      <c r="E91" s="97" t="s">
        <v>91</v>
      </c>
      <c r="F91" s="59">
        <f>F92</f>
        <v>42.8</v>
      </c>
      <c r="G91" s="59">
        <f t="shared" si="40"/>
        <v>42.6</v>
      </c>
      <c r="H91" s="59">
        <f t="shared" si="40"/>
        <v>0.19999999999999929</v>
      </c>
      <c r="I91" s="190">
        <f t="shared" si="33"/>
        <v>99.532710280373834</v>
      </c>
    </row>
    <row r="92" spans="1:9" ht="25.5">
      <c r="A92" s="16" t="s">
        <v>87</v>
      </c>
      <c r="B92" s="20" t="s">
        <v>62</v>
      </c>
      <c r="C92" s="20" t="s">
        <v>72</v>
      </c>
      <c r="D92" s="97" t="s">
        <v>415</v>
      </c>
      <c r="E92" s="97" t="s">
        <v>88</v>
      </c>
      <c r="F92" s="59">
        <f>'пр.4 вед.стр.'!G298+'пр.4 вед.стр.'!G245</f>
        <v>42.8</v>
      </c>
      <c r="G92" s="59">
        <f>'пр.4 вед.стр.'!H298+'пр.4 вед.стр.'!H245</f>
        <v>42.6</v>
      </c>
      <c r="H92" s="59">
        <f>'пр.4 вед.стр.'!I298+'пр.4 вед.стр.'!I245</f>
        <v>0.19999999999999929</v>
      </c>
      <c r="I92" s="190">
        <f t="shared" si="33"/>
        <v>99.532710280373834</v>
      </c>
    </row>
    <row r="93" spans="1:9" ht="38.25">
      <c r="A93" s="16" t="str">
        <f>'пр.4 вед.стр.'!A231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93" s="20" t="s">
        <v>62</v>
      </c>
      <c r="C93" s="20" t="s">
        <v>72</v>
      </c>
      <c r="D93" s="97" t="str">
        <f>'пр.4 вед.стр.'!E231</f>
        <v>Р2 4 00 55500</v>
      </c>
      <c r="E93" s="97"/>
      <c r="F93" s="59">
        <f>F94</f>
        <v>253</v>
      </c>
      <c r="G93" s="59">
        <f t="shared" ref="G93:H94" si="41">G94</f>
        <v>253</v>
      </c>
      <c r="H93" s="59">
        <f t="shared" si="41"/>
        <v>0</v>
      </c>
      <c r="I93" s="190">
        <f t="shared" si="33"/>
        <v>100</v>
      </c>
    </row>
    <row r="94" spans="1:9" ht="51">
      <c r="A94" s="16" t="str">
        <f>'пр.4 вед.стр.'!A232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4" s="20" t="s">
        <v>62</v>
      </c>
      <c r="C94" s="20" t="s">
        <v>72</v>
      </c>
      <c r="D94" s="97" t="str">
        <f>'пр.4 вед.стр.'!E232</f>
        <v>Р2 4 00 55500</v>
      </c>
      <c r="E94" s="97" t="s">
        <v>91</v>
      </c>
      <c r="F94" s="59">
        <f>F95</f>
        <v>253</v>
      </c>
      <c r="G94" s="59">
        <f t="shared" si="41"/>
        <v>253</v>
      </c>
      <c r="H94" s="59">
        <f t="shared" si="41"/>
        <v>0</v>
      </c>
      <c r="I94" s="190">
        <f t="shared" si="33"/>
        <v>100</v>
      </c>
    </row>
    <row r="95" spans="1:9" ht="25.5">
      <c r="A95" s="16" t="str">
        <f>'пр.4 вед.стр.'!A233</f>
        <v>Расходы на выплаты персоналу государственных (муниципальных) органов</v>
      </c>
      <c r="B95" s="20" t="s">
        <v>62</v>
      </c>
      <c r="C95" s="20" t="s">
        <v>72</v>
      </c>
      <c r="D95" s="97" t="str">
        <f>'пр.4 вед.стр.'!E233</f>
        <v>Р2 4 00 55500</v>
      </c>
      <c r="E95" s="97" t="s">
        <v>88</v>
      </c>
      <c r="F95" s="59">
        <f>'пр.4 вед.стр.'!G233</f>
        <v>253</v>
      </c>
      <c r="G95" s="59">
        <f>'пр.4 вед.стр.'!H233</f>
        <v>253</v>
      </c>
      <c r="H95" s="59">
        <f>'пр.4 вед.стр.'!I233</f>
        <v>0</v>
      </c>
      <c r="I95" s="190">
        <f t="shared" si="33"/>
        <v>100</v>
      </c>
    </row>
    <row r="96" spans="1:9">
      <c r="A96" s="15" t="s">
        <v>3</v>
      </c>
      <c r="B96" s="31" t="s">
        <v>62</v>
      </c>
      <c r="C96" s="31" t="s">
        <v>70</v>
      </c>
      <c r="D96" s="100"/>
      <c r="E96" s="100"/>
      <c r="F96" s="143">
        <f>F97</f>
        <v>200.50000000000003</v>
      </c>
      <c r="G96" s="143">
        <f t="shared" ref="G96:H99" si="42">G97</f>
        <v>0</v>
      </c>
      <c r="H96" s="143">
        <f t="shared" si="42"/>
        <v>200.50000000000003</v>
      </c>
      <c r="I96" s="190">
        <f t="shared" si="33"/>
        <v>0</v>
      </c>
    </row>
    <row r="97" spans="1:14">
      <c r="A97" s="16" t="s">
        <v>3</v>
      </c>
      <c r="B97" s="20" t="s">
        <v>62</v>
      </c>
      <c r="C97" s="20" t="s">
        <v>70</v>
      </c>
      <c r="D97" s="97" t="s">
        <v>440</v>
      </c>
      <c r="E97" s="97"/>
      <c r="F97" s="59">
        <f>F98</f>
        <v>200.50000000000003</v>
      </c>
      <c r="G97" s="59">
        <f t="shared" si="42"/>
        <v>0</v>
      </c>
      <c r="H97" s="59">
        <f t="shared" si="42"/>
        <v>200.50000000000003</v>
      </c>
      <c r="I97" s="190">
        <f t="shared" si="33"/>
        <v>0</v>
      </c>
    </row>
    <row r="98" spans="1:14">
      <c r="A98" s="16" t="s">
        <v>267</v>
      </c>
      <c r="B98" s="20" t="s">
        <v>62</v>
      </c>
      <c r="C98" s="20" t="s">
        <v>70</v>
      </c>
      <c r="D98" s="97" t="s">
        <v>441</v>
      </c>
      <c r="E98" s="97"/>
      <c r="F98" s="59">
        <f>F99</f>
        <v>200.50000000000003</v>
      </c>
      <c r="G98" s="59">
        <f t="shared" si="42"/>
        <v>0</v>
      </c>
      <c r="H98" s="59">
        <f t="shared" si="42"/>
        <v>200.50000000000003</v>
      </c>
      <c r="I98" s="190">
        <f t="shared" si="33"/>
        <v>0</v>
      </c>
    </row>
    <row r="99" spans="1:14">
      <c r="A99" s="16" t="s">
        <v>108</v>
      </c>
      <c r="B99" s="20" t="s">
        <v>62</v>
      </c>
      <c r="C99" s="20" t="s">
        <v>70</v>
      </c>
      <c r="D99" s="97" t="s">
        <v>441</v>
      </c>
      <c r="E99" s="97" t="s">
        <v>109</v>
      </c>
      <c r="F99" s="59">
        <f>F100</f>
        <v>200.50000000000003</v>
      </c>
      <c r="G99" s="59">
        <f t="shared" si="42"/>
        <v>0</v>
      </c>
      <c r="H99" s="59">
        <f t="shared" si="42"/>
        <v>200.50000000000003</v>
      </c>
      <c r="I99" s="190">
        <f t="shared" si="33"/>
        <v>0</v>
      </c>
    </row>
    <row r="100" spans="1:14">
      <c r="A100" s="16" t="s">
        <v>115</v>
      </c>
      <c r="B100" s="20" t="s">
        <v>62</v>
      </c>
      <c r="C100" s="20" t="s">
        <v>70</v>
      </c>
      <c r="D100" s="97" t="s">
        <v>441</v>
      </c>
      <c r="E100" s="97" t="s">
        <v>116</v>
      </c>
      <c r="F100" s="59">
        <f>'пр.4 вед.стр.'!G250</f>
        <v>200.50000000000003</v>
      </c>
      <c r="G100" s="59">
        <f>'пр.4 вед.стр.'!H250</f>
        <v>0</v>
      </c>
      <c r="H100" s="59">
        <f>'пр.4 вед.стр.'!I250</f>
        <v>200.50000000000003</v>
      </c>
      <c r="I100" s="190">
        <f t="shared" si="33"/>
        <v>0</v>
      </c>
    </row>
    <row r="101" spans="1:14">
      <c r="A101" s="15" t="s">
        <v>59</v>
      </c>
      <c r="B101" s="31" t="s">
        <v>62</v>
      </c>
      <c r="C101" s="31" t="s">
        <v>83</v>
      </c>
      <c r="D101" s="100"/>
      <c r="E101" s="100"/>
      <c r="F101" s="143">
        <f>F102+F118+F137+F127+F131</f>
        <v>55728.9</v>
      </c>
      <c r="G101" s="143">
        <f t="shared" ref="G101:H101" si="43">G102+G118+G137+G127+G131</f>
        <v>55049.2</v>
      </c>
      <c r="H101" s="143">
        <f t="shared" si="43"/>
        <v>679.69999999999936</v>
      </c>
      <c r="I101" s="190">
        <f t="shared" si="33"/>
        <v>98.780345565765685</v>
      </c>
      <c r="K101" s="69"/>
      <c r="L101" s="69"/>
      <c r="M101" s="71"/>
      <c r="N101" s="71"/>
    </row>
    <row r="102" spans="1:14">
      <c r="A102" s="16" t="s">
        <v>290</v>
      </c>
      <c r="B102" s="20" t="s">
        <v>62</v>
      </c>
      <c r="C102" s="20" t="s">
        <v>83</v>
      </c>
      <c r="D102" s="102" t="s">
        <v>446</v>
      </c>
      <c r="E102" s="100"/>
      <c r="F102" s="143">
        <f>F103+F110+F113</f>
        <v>49250.5</v>
      </c>
      <c r="G102" s="143">
        <f t="shared" ref="G102:H102" si="44">G103+G110+G113</f>
        <v>49182.7</v>
      </c>
      <c r="H102" s="143">
        <f t="shared" si="44"/>
        <v>67.799999999999187</v>
      </c>
      <c r="I102" s="190">
        <f t="shared" si="33"/>
        <v>99.862336422980462</v>
      </c>
    </row>
    <row r="103" spans="1:14" ht="25.5">
      <c r="A103" s="16" t="s">
        <v>183</v>
      </c>
      <c r="B103" s="20" t="s">
        <v>62</v>
      </c>
      <c r="C103" s="20" t="s">
        <v>83</v>
      </c>
      <c r="D103" s="102" t="s">
        <v>447</v>
      </c>
      <c r="E103" s="100"/>
      <c r="F103" s="143">
        <f>F104+F106+F108</f>
        <v>48042.2</v>
      </c>
      <c r="G103" s="143">
        <f t="shared" ref="G103:H103" si="45">G104+G106+G108</f>
        <v>47974.8</v>
      </c>
      <c r="H103" s="143">
        <f t="shared" si="45"/>
        <v>67.399999999999238</v>
      </c>
      <c r="I103" s="190">
        <f t="shared" si="33"/>
        <v>99.859706674548647</v>
      </c>
    </row>
    <row r="104" spans="1:14" ht="51">
      <c r="A104" s="16" t="s">
        <v>90</v>
      </c>
      <c r="B104" s="20" t="s">
        <v>62</v>
      </c>
      <c r="C104" s="20" t="s">
        <v>83</v>
      </c>
      <c r="D104" s="102" t="s">
        <v>447</v>
      </c>
      <c r="E104" s="97" t="s">
        <v>91</v>
      </c>
      <c r="F104" s="59">
        <f>F105</f>
        <v>34547.299999999996</v>
      </c>
      <c r="G104" s="59">
        <f t="shared" ref="G104:H104" si="46">G105</f>
        <v>34547.300000000003</v>
      </c>
      <c r="H104" s="59">
        <f t="shared" si="46"/>
        <v>0</v>
      </c>
      <c r="I104" s="190">
        <f t="shared" si="33"/>
        <v>100.00000000000003</v>
      </c>
    </row>
    <row r="105" spans="1:14">
      <c r="A105" s="16" t="s">
        <v>206</v>
      </c>
      <c r="B105" s="20" t="s">
        <v>62</v>
      </c>
      <c r="C105" s="20" t="s">
        <v>83</v>
      </c>
      <c r="D105" s="102" t="s">
        <v>447</v>
      </c>
      <c r="E105" s="97" t="s">
        <v>207</v>
      </c>
      <c r="F105" s="59">
        <f>'пр.4 вед.стр.'!G319</f>
        <v>34547.299999999996</v>
      </c>
      <c r="G105" s="59">
        <f>'пр.4 вед.стр.'!H319</f>
        <v>34547.300000000003</v>
      </c>
      <c r="H105" s="59">
        <f>'пр.4 вед.стр.'!I319</f>
        <v>0</v>
      </c>
      <c r="I105" s="190">
        <f t="shared" si="33"/>
        <v>100.00000000000003</v>
      </c>
    </row>
    <row r="106" spans="1:14" ht="25.5">
      <c r="A106" s="16" t="s">
        <v>331</v>
      </c>
      <c r="B106" s="20" t="s">
        <v>62</v>
      </c>
      <c r="C106" s="20" t="s">
        <v>83</v>
      </c>
      <c r="D106" s="102" t="s">
        <v>447</v>
      </c>
      <c r="E106" s="97" t="s">
        <v>92</v>
      </c>
      <c r="F106" s="59">
        <f>F107</f>
        <v>13203.5</v>
      </c>
      <c r="G106" s="59">
        <f t="shared" ref="G106:H106" si="47">G107</f>
        <v>13136.2</v>
      </c>
      <c r="H106" s="59">
        <f t="shared" si="47"/>
        <v>67.299999999999272</v>
      </c>
      <c r="I106" s="190">
        <f t="shared" si="33"/>
        <v>99.490286666414221</v>
      </c>
    </row>
    <row r="107" spans="1:14" ht="25.5">
      <c r="A107" s="16" t="s">
        <v>556</v>
      </c>
      <c r="B107" s="20" t="s">
        <v>62</v>
      </c>
      <c r="C107" s="20" t="s">
        <v>83</v>
      </c>
      <c r="D107" s="102" t="s">
        <v>447</v>
      </c>
      <c r="E107" s="97" t="s">
        <v>89</v>
      </c>
      <c r="F107" s="59">
        <f>'пр.4 вед.стр.'!G321</f>
        <v>13203.5</v>
      </c>
      <c r="G107" s="59">
        <f>'пр.4 вед.стр.'!H321</f>
        <v>13136.2</v>
      </c>
      <c r="H107" s="59">
        <f>'пр.4 вед.стр.'!I321</f>
        <v>67.299999999999272</v>
      </c>
      <c r="I107" s="190">
        <f t="shared" si="33"/>
        <v>99.490286666414221</v>
      </c>
    </row>
    <row r="108" spans="1:14">
      <c r="A108" s="16" t="s">
        <v>108</v>
      </c>
      <c r="B108" s="20" t="s">
        <v>62</v>
      </c>
      <c r="C108" s="20" t="s">
        <v>83</v>
      </c>
      <c r="D108" s="102" t="s">
        <v>447</v>
      </c>
      <c r="E108" s="97" t="s">
        <v>109</v>
      </c>
      <c r="F108" s="59">
        <f>F109</f>
        <v>291.39999999999998</v>
      </c>
      <c r="G108" s="59">
        <f t="shared" ref="G108:H108" si="48">G109</f>
        <v>291.3</v>
      </c>
      <c r="H108" s="59">
        <f t="shared" si="48"/>
        <v>9.9999999999965894E-2</v>
      </c>
      <c r="I108" s="190">
        <f t="shared" si="33"/>
        <v>99.965682910089242</v>
      </c>
    </row>
    <row r="109" spans="1:14">
      <c r="A109" s="16" t="s">
        <v>111</v>
      </c>
      <c r="B109" s="20" t="s">
        <v>62</v>
      </c>
      <c r="C109" s="20" t="s">
        <v>83</v>
      </c>
      <c r="D109" s="102" t="s">
        <v>447</v>
      </c>
      <c r="E109" s="97" t="s">
        <v>112</v>
      </c>
      <c r="F109" s="59">
        <f>'пр.4 вед.стр.'!G323</f>
        <v>291.39999999999998</v>
      </c>
      <c r="G109" s="59">
        <f>'пр.4 вед.стр.'!H323</f>
        <v>291.3</v>
      </c>
      <c r="H109" s="59">
        <f>'пр.4 вед.стр.'!I323</f>
        <v>9.9999999999965894E-2</v>
      </c>
      <c r="I109" s="190">
        <f t="shared" si="33"/>
        <v>99.965682910089242</v>
      </c>
    </row>
    <row r="110" spans="1:14" ht="51">
      <c r="A110" s="16" t="s">
        <v>202</v>
      </c>
      <c r="B110" s="20" t="s">
        <v>62</v>
      </c>
      <c r="C110" s="20" t="s">
        <v>83</v>
      </c>
      <c r="D110" s="102" t="s">
        <v>448</v>
      </c>
      <c r="E110" s="97"/>
      <c r="F110" s="59">
        <f>F111</f>
        <v>668.8</v>
      </c>
      <c r="G110" s="59">
        <f t="shared" ref="G110:H111" si="49">G111</f>
        <v>668.7</v>
      </c>
      <c r="H110" s="59">
        <f t="shared" si="49"/>
        <v>9.9999999999909051E-2</v>
      </c>
      <c r="I110" s="190">
        <f t="shared" si="33"/>
        <v>99.985047846889969</v>
      </c>
    </row>
    <row r="111" spans="1:14" ht="51">
      <c r="A111" s="16" t="s">
        <v>90</v>
      </c>
      <c r="B111" s="20" t="s">
        <v>62</v>
      </c>
      <c r="C111" s="20" t="s">
        <v>83</v>
      </c>
      <c r="D111" s="102" t="s">
        <v>448</v>
      </c>
      <c r="E111" s="97" t="s">
        <v>91</v>
      </c>
      <c r="F111" s="59">
        <f>F112</f>
        <v>668.8</v>
      </c>
      <c r="G111" s="59">
        <f t="shared" si="49"/>
        <v>668.7</v>
      </c>
      <c r="H111" s="59">
        <f t="shared" si="49"/>
        <v>9.9999999999909051E-2</v>
      </c>
      <c r="I111" s="190">
        <f t="shared" si="33"/>
        <v>99.985047846889969</v>
      </c>
    </row>
    <row r="112" spans="1:14">
      <c r="A112" s="16" t="s">
        <v>206</v>
      </c>
      <c r="B112" s="20" t="s">
        <v>62</v>
      </c>
      <c r="C112" s="20" t="s">
        <v>83</v>
      </c>
      <c r="D112" s="102" t="s">
        <v>448</v>
      </c>
      <c r="E112" s="97" t="s">
        <v>207</v>
      </c>
      <c r="F112" s="59">
        <f>'пр.4 вед.стр.'!G326</f>
        <v>668.8</v>
      </c>
      <c r="G112" s="59">
        <f>'пр.4 вед.стр.'!H326</f>
        <v>668.7</v>
      </c>
      <c r="H112" s="59">
        <f>'пр.4 вед.стр.'!I326</f>
        <v>9.9999999999909051E-2</v>
      </c>
      <c r="I112" s="190">
        <f t="shared" si="33"/>
        <v>99.985047846889969</v>
      </c>
    </row>
    <row r="113" spans="1:9">
      <c r="A113" s="16" t="s">
        <v>174</v>
      </c>
      <c r="B113" s="20" t="s">
        <v>62</v>
      </c>
      <c r="C113" s="20" t="s">
        <v>83</v>
      </c>
      <c r="D113" s="102" t="s">
        <v>449</v>
      </c>
      <c r="E113" s="97"/>
      <c r="F113" s="59">
        <f>F114+F116</f>
        <v>539.5</v>
      </c>
      <c r="G113" s="59">
        <f t="shared" ref="G113:H113" si="50">G114+G116</f>
        <v>539.20000000000005</v>
      </c>
      <c r="H113" s="59">
        <f t="shared" si="50"/>
        <v>0.30000000000003268</v>
      </c>
      <c r="I113" s="190">
        <f t="shared" si="33"/>
        <v>99.944392956441149</v>
      </c>
    </row>
    <row r="114" spans="1:9" ht="51">
      <c r="A114" s="16" t="s">
        <v>90</v>
      </c>
      <c r="B114" s="20" t="s">
        <v>62</v>
      </c>
      <c r="C114" s="20" t="s">
        <v>83</v>
      </c>
      <c r="D114" s="102" t="s">
        <v>449</v>
      </c>
      <c r="E114" s="97" t="s">
        <v>91</v>
      </c>
      <c r="F114" s="59">
        <f>F115</f>
        <v>47.800000000000068</v>
      </c>
      <c r="G114" s="59">
        <f t="shared" ref="G114:H114" si="51">G115</f>
        <v>47.6</v>
      </c>
      <c r="H114" s="59">
        <f t="shared" si="51"/>
        <v>0.20000000000006679</v>
      </c>
      <c r="I114" s="190">
        <f t="shared" si="33"/>
        <v>99.581589958158858</v>
      </c>
    </row>
    <row r="115" spans="1:9">
      <c r="A115" s="16" t="s">
        <v>206</v>
      </c>
      <c r="B115" s="20" t="s">
        <v>62</v>
      </c>
      <c r="C115" s="20" t="s">
        <v>83</v>
      </c>
      <c r="D115" s="102" t="s">
        <v>449</v>
      </c>
      <c r="E115" s="97" t="s">
        <v>207</v>
      </c>
      <c r="F115" s="59">
        <f>'пр.4 вед.стр.'!G329</f>
        <v>47.800000000000068</v>
      </c>
      <c r="G115" s="59">
        <f>'пр.4 вед.стр.'!H329</f>
        <v>47.6</v>
      </c>
      <c r="H115" s="59">
        <f>'пр.4 вед.стр.'!I329</f>
        <v>0.20000000000006679</v>
      </c>
      <c r="I115" s="190">
        <f t="shared" si="33"/>
        <v>99.581589958158858</v>
      </c>
    </row>
    <row r="116" spans="1:9">
      <c r="A116" s="16" t="str">
        <f>'пр.4 вед.стр.'!A330</f>
        <v>Социальное обеспечение и иные выплаты населению</v>
      </c>
      <c r="B116" s="20" t="s">
        <v>62</v>
      </c>
      <c r="C116" s="20" t="s">
        <v>83</v>
      </c>
      <c r="D116" s="102" t="s">
        <v>449</v>
      </c>
      <c r="E116" s="121">
        <v>300</v>
      </c>
      <c r="F116" s="59">
        <f>F117</f>
        <v>491.7</v>
      </c>
      <c r="G116" s="59">
        <f t="shared" ref="G116:H116" si="52">G117</f>
        <v>491.6</v>
      </c>
      <c r="H116" s="59">
        <f t="shared" si="52"/>
        <v>9.9999999999965894E-2</v>
      </c>
      <c r="I116" s="190">
        <f t="shared" si="33"/>
        <v>99.979662395769793</v>
      </c>
    </row>
    <row r="117" spans="1:9" ht="25.5">
      <c r="A117" s="16" t="str">
        <f>'пр.4 вед.стр.'!A331</f>
        <v>Социальные выплаты гражданам, кроме публичных нормативных социальных выплат</v>
      </c>
      <c r="B117" s="20" t="s">
        <v>62</v>
      </c>
      <c r="C117" s="20" t="s">
        <v>83</v>
      </c>
      <c r="D117" s="102" t="s">
        <v>449</v>
      </c>
      <c r="E117" s="121">
        <v>320</v>
      </c>
      <c r="F117" s="59">
        <f>'пр.4 вед.стр.'!G331</f>
        <v>491.7</v>
      </c>
      <c r="G117" s="59">
        <f>'пр.4 вед.стр.'!H331</f>
        <v>491.6</v>
      </c>
      <c r="H117" s="59">
        <f>'пр.4 вед.стр.'!I331</f>
        <v>9.9999999999965894E-2</v>
      </c>
      <c r="I117" s="190">
        <f t="shared" si="33"/>
        <v>99.979662395769793</v>
      </c>
    </row>
    <row r="118" spans="1:9" ht="25.5">
      <c r="A118" s="29" t="s">
        <v>167</v>
      </c>
      <c r="B118" s="20" t="s">
        <v>62</v>
      </c>
      <c r="C118" s="20" t="s">
        <v>83</v>
      </c>
      <c r="D118" s="97" t="s">
        <v>450</v>
      </c>
      <c r="E118" s="97"/>
      <c r="F118" s="59">
        <f>F119+F122</f>
        <v>2382.3000000000002</v>
      </c>
      <c r="G118" s="59">
        <f t="shared" ref="G118:H118" si="53">G119+G122</f>
        <v>2373.6</v>
      </c>
      <c r="H118" s="59">
        <f t="shared" si="53"/>
        <v>8.7000000000001378</v>
      </c>
      <c r="I118" s="190">
        <f t="shared" si="33"/>
        <v>99.634806699408117</v>
      </c>
    </row>
    <row r="119" spans="1:9">
      <c r="A119" s="29" t="s">
        <v>264</v>
      </c>
      <c r="B119" s="20" t="s">
        <v>62</v>
      </c>
      <c r="C119" s="20" t="s">
        <v>83</v>
      </c>
      <c r="D119" s="97" t="s">
        <v>451</v>
      </c>
      <c r="E119" s="97"/>
      <c r="F119" s="59">
        <f>F120</f>
        <v>1713.4</v>
      </c>
      <c r="G119" s="59">
        <f t="shared" ref="G119:H120" si="54">G120</f>
        <v>1705.8</v>
      </c>
      <c r="H119" s="59">
        <f t="shared" si="54"/>
        <v>7.6000000000001364</v>
      </c>
      <c r="I119" s="190">
        <f t="shared" si="33"/>
        <v>99.556437492704546</v>
      </c>
    </row>
    <row r="120" spans="1:9" ht="25.5">
      <c r="A120" s="16" t="s">
        <v>331</v>
      </c>
      <c r="B120" s="20" t="s">
        <v>62</v>
      </c>
      <c r="C120" s="20" t="s">
        <v>83</v>
      </c>
      <c r="D120" s="97" t="s">
        <v>451</v>
      </c>
      <c r="E120" s="97" t="s">
        <v>92</v>
      </c>
      <c r="F120" s="59">
        <f>F121</f>
        <v>1713.4</v>
      </c>
      <c r="G120" s="59">
        <f t="shared" si="54"/>
        <v>1705.8</v>
      </c>
      <c r="H120" s="59">
        <f t="shared" si="54"/>
        <v>7.6000000000001364</v>
      </c>
      <c r="I120" s="190">
        <f t="shared" si="33"/>
        <v>99.556437492704546</v>
      </c>
    </row>
    <row r="121" spans="1:9" ht="25.5">
      <c r="A121" s="16" t="s">
        <v>556</v>
      </c>
      <c r="B121" s="20" t="s">
        <v>62</v>
      </c>
      <c r="C121" s="20" t="s">
        <v>83</v>
      </c>
      <c r="D121" s="97" t="s">
        <v>451</v>
      </c>
      <c r="E121" s="97" t="s">
        <v>89</v>
      </c>
      <c r="F121" s="59">
        <f>'пр.4 вед.стр.'!G335</f>
        <v>1713.4</v>
      </c>
      <c r="G121" s="59">
        <f>'пр.4 вед.стр.'!H335</f>
        <v>1705.8</v>
      </c>
      <c r="H121" s="59">
        <f>'пр.4 вед.стр.'!I335</f>
        <v>7.6000000000001364</v>
      </c>
      <c r="I121" s="190">
        <f t="shared" si="33"/>
        <v>99.556437492704546</v>
      </c>
    </row>
    <row r="122" spans="1:9" ht="25.5">
      <c r="A122" s="29" t="s">
        <v>543</v>
      </c>
      <c r="B122" s="20" t="s">
        <v>62</v>
      </c>
      <c r="C122" s="20" t="s">
        <v>83</v>
      </c>
      <c r="D122" s="97" t="s">
        <v>452</v>
      </c>
      <c r="E122" s="97"/>
      <c r="F122" s="59">
        <f>F123+F125</f>
        <v>668.9</v>
      </c>
      <c r="G122" s="59">
        <f t="shared" ref="G122:H122" si="55">G123+G125</f>
        <v>667.8</v>
      </c>
      <c r="H122" s="59">
        <f t="shared" si="55"/>
        <v>1.1000000000000014</v>
      </c>
      <c r="I122" s="190">
        <f t="shared" si="33"/>
        <v>99.835550904470026</v>
      </c>
    </row>
    <row r="123" spans="1:9" ht="25.5">
      <c r="A123" s="16" t="s">
        <v>331</v>
      </c>
      <c r="B123" s="20" t="s">
        <v>62</v>
      </c>
      <c r="C123" s="20" t="s">
        <v>83</v>
      </c>
      <c r="D123" s="97" t="s">
        <v>452</v>
      </c>
      <c r="E123" s="97" t="s">
        <v>92</v>
      </c>
      <c r="F123" s="59">
        <f>F124</f>
        <v>528.9</v>
      </c>
      <c r="G123" s="59">
        <f t="shared" ref="G123:H123" si="56">G124</f>
        <v>527.79999999999995</v>
      </c>
      <c r="H123" s="59">
        <f t="shared" si="56"/>
        <v>1.1000000000000014</v>
      </c>
      <c r="I123" s="190">
        <f t="shared" si="33"/>
        <v>99.792021176025713</v>
      </c>
    </row>
    <row r="124" spans="1:9" ht="25.5">
      <c r="A124" s="16" t="s">
        <v>556</v>
      </c>
      <c r="B124" s="20" t="s">
        <v>62</v>
      </c>
      <c r="C124" s="20" t="s">
        <v>83</v>
      </c>
      <c r="D124" s="97" t="s">
        <v>452</v>
      </c>
      <c r="E124" s="97" t="s">
        <v>89</v>
      </c>
      <c r="F124" s="59">
        <f>'пр.4 вед.стр.'!G338+'пр.4 вед.стр.'!G886</f>
        <v>528.9</v>
      </c>
      <c r="G124" s="59">
        <f>'пр.4 вед.стр.'!H338+'пр.4 вед.стр.'!H886</f>
        <v>527.79999999999995</v>
      </c>
      <c r="H124" s="59">
        <f>'пр.4 вед.стр.'!I338+'пр.4 вед.стр.'!I886</f>
        <v>1.1000000000000014</v>
      </c>
      <c r="I124" s="190">
        <f t="shared" si="33"/>
        <v>99.792021176025713</v>
      </c>
    </row>
    <row r="125" spans="1:9">
      <c r="A125" s="16" t="s">
        <v>108</v>
      </c>
      <c r="B125" s="20" t="s">
        <v>62</v>
      </c>
      <c r="C125" s="20" t="s">
        <v>83</v>
      </c>
      <c r="D125" s="97" t="s">
        <v>452</v>
      </c>
      <c r="E125" s="97" t="s">
        <v>109</v>
      </c>
      <c r="F125" s="59">
        <f>F126</f>
        <v>140</v>
      </c>
      <c r="G125" s="59">
        <f t="shared" ref="G125:H125" si="57">G126</f>
        <v>140</v>
      </c>
      <c r="H125" s="59">
        <f t="shared" si="57"/>
        <v>0</v>
      </c>
      <c r="I125" s="190">
        <f t="shared" si="33"/>
        <v>100</v>
      </c>
    </row>
    <row r="126" spans="1:9">
      <c r="A126" s="16" t="str">
        <f>'пр.4 вед.стр.'!A340</f>
        <v>Исполнение судебных актов</v>
      </c>
      <c r="B126" s="20" t="s">
        <v>62</v>
      </c>
      <c r="C126" s="20" t="s">
        <v>83</v>
      </c>
      <c r="D126" s="97" t="s">
        <v>452</v>
      </c>
      <c r="E126" s="121">
        <v>830</v>
      </c>
      <c r="F126" s="59">
        <f>'пр.4 вед.стр.'!G340</f>
        <v>140</v>
      </c>
      <c r="G126" s="59">
        <f>'пр.4 вед.стр.'!H340</f>
        <v>140</v>
      </c>
      <c r="H126" s="59">
        <f>'пр.4 вед.стр.'!I340</f>
        <v>0</v>
      </c>
      <c r="I126" s="190">
        <f t="shared" si="33"/>
        <v>100</v>
      </c>
    </row>
    <row r="127" spans="1:9" ht="25.5">
      <c r="A127" s="150" t="s">
        <v>422</v>
      </c>
      <c r="B127" s="20" t="s">
        <v>62</v>
      </c>
      <c r="C127" s="20" t="s">
        <v>83</v>
      </c>
      <c r="D127" s="97" t="s">
        <v>423</v>
      </c>
      <c r="E127" s="97"/>
      <c r="F127" s="59">
        <f>F128</f>
        <v>695.59999999999991</v>
      </c>
      <c r="G127" s="59">
        <f t="shared" ref="G127:H129" si="58">G128</f>
        <v>695.59999999999991</v>
      </c>
      <c r="H127" s="59">
        <f t="shared" si="58"/>
        <v>0</v>
      </c>
      <c r="I127" s="190">
        <f t="shared" si="33"/>
        <v>100</v>
      </c>
    </row>
    <row r="128" spans="1:9" ht="25.5">
      <c r="A128" s="16" t="s">
        <v>424</v>
      </c>
      <c r="B128" s="20" t="s">
        <v>62</v>
      </c>
      <c r="C128" s="20" t="s">
        <v>83</v>
      </c>
      <c r="D128" s="97" t="s">
        <v>425</v>
      </c>
      <c r="E128" s="97"/>
      <c r="F128" s="59">
        <f>F129</f>
        <v>695.59999999999991</v>
      </c>
      <c r="G128" s="59">
        <f t="shared" si="58"/>
        <v>695.59999999999991</v>
      </c>
      <c r="H128" s="59">
        <f t="shared" si="58"/>
        <v>0</v>
      </c>
      <c r="I128" s="190">
        <f t="shared" si="33"/>
        <v>100</v>
      </c>
    </row>
    <row r="129" spans="1:9" ht="51">
      <c r="A129" s="16" t="s">
        <v>90</v>
      </c>
      <c r="B129" s="20" t="s">
        <v>62</v>
      </c>
      <c r="C129" s="20" t="s">
        <v>83</v>
      </c>
      <c r="D129" s="97" t="s">
        <v>425</v>
      </c>
      <c r="E129" s="97" t="s">
        <v>91</v>
      </c>
      <c r="F129" s="59">
        <f>F130</f>
        <v>695.59999999999991</v>
      </c>
      <c r="G129" s="59">
        <f t="shared" si="58"/>
        <v>695.59999999999991</v>
      </c>
      <c r="H129" s="59">
        <f t="shared" si="58"/>
        <v>0</v>
      </c>
      <c r="I129" s="190">
        <f t="shared" si="33"/>
        <v>100</v>
      </c>
    </row>
    <row r="130" spans="1:9" ht="25.5">
      <c r="A130" s="16" t="s">
        <v>87</v>
      </c>
      <c r="B130" s="20" t="s">
        <v>62</v>
      </c>
      <c r="C130" s="20" t="s">
        <v>83</v>
      </c>
      <c r="D130" s="97" t="s">
        <v>425</v>
      </c>
      <c r="E130" s="97" t="s">
        <v>88</v>
      </c>
      <c r="F130" s="59">
        <f>'пр.4 вед.стр.'!G55</f>
        <v>695.59999999999991</v>
      </c>
      <c r="G130" s="59">
        <f>'пр.4 вед.стр.'!H55</f>
        <v>695.59999999999991</v>
      </c>
      <c r="H130" s="59">
        <f>'пр.4 вед.стр.'!I55</f>
        <v>0</v>
      </c>
      <c r="I130" s="190">
        <f t="shared" si="33"/>
        <v>100</v>
      </c>
    </row>
    <row r="131" spans="1:9" ht="38.25">
      <c r="A131" s="16" t="s">
        <v>426</v>
      </c>
      <c r="B131" s="20" t="s">
        <v>62</v>
      </c>
      <c r="C131" s="20" t="s">
        <v>83</v>
      </c>
      <c r="D131" s="97" t="s">
        <v>427</v>
      </c>
      <c r="E131" s="97"/>
      <c r="F131" s="59">
        <f>F132</f>
        <v>763.7</v>
      </c>
      <c r="G131" s="59">
        <f t="shared" ref="G131:H131" si="59">G132</f>
        <v>290.90000000000003</v>
      </c>
      <c r="H131" s="59">
        <f t="shared" si="59"/>
        <v>472.8</v>
      </c>
      <c r="I131" s="190">
        <f t="shared" si="33"/>
        <v>38.090873379599323</v>
      </c>
    </row>
    <row r="132" spans="1:9" ht="114.75">
      <c r="A132" s="16" t="s">
        <v>428</v>
      </c>
      <c r="B132" s="20" t="s">
        <v>62</v>
      </c>
      <c r="C132" s="20" t="s">
        <v>83</v>
      </c>
      <c r="D132" s="97" t="s">
        <v>429</v>
      </c>
      <c r="E132" s="97"/>
      <c r="F132" s="59">
        <f>F133+F135</f>
        <v>763.7</v>
      </c>
      <c r="G132" s="59">
        <f t="shared" ref="G132:H132" si="60">G133+G135</f>
        <v>290.90000000000003</v>
      </c>
      <c r="H132" s="59">
        <f t="shared" si="60"/>
        <v>472.8</v>
      </c>
      <c r="I132" s="190">
        <f t="shared" si="33"/>
        <v>38.090873379599323</v>
      </c>
    </row>
    <row r="133" spans="1:9" ht="51">
      <c r="A133" s="16" t="s">
        <v>90</v>
      </c>
      <c r="B133" s="20" t="s">
        <v>62</v>
      </c>
      <c r="C133" s="20" t="s">
        <v>83</v>
      </c>
      <c r="D133" s="97" t="s">
        <v>429</v>
      </c>
      <c r="E133" s="97" t="s">
        <v>91</v>
      </c>
      <c r="F133" s="59">
        <f>F134</f>
        <v>734.7</v>
      </c>
      <c r="G133" s="59">
        <f t="shared" ref="G133:H133" si="61">G134</f>
        <v>267.90000000000003</v>
      </c>
      <c r="H133" s="59">
        <f t="shared" si="61"/>
        <v>466.8</v>
      </c>
      <c r="I133" s="190">
        <f t="shared" si="33"/>
        <v>36.463862801143328</v>
      </c>
    </row>
    <row r="134" spans="1:9" ht="25.5">
      <c r="A134" s="16" t="s">
        <v>87</v>
      </c>
      <c r="B134" s="20" t="s">
        <v>62</v>
      </c>
      <c r="C134" s="20" t="s">
        <v>83</v>
      </c>
      <c r="D134" s="97" t="s">
        <v>429</v>
      </c>
      <c r="E134" s="97" t="s">
        <v>88</v>
      </c>
      <c r="F134" s="59">
        <f>'пр.4 вед.стр.'!G59</f>
        <v>734.7</v>
      </c>
      <c r="G134" s="59">
        <f>'пр.4 вед.стр.'!H59</f>
        <v>267.90000000000003</v>
      </c>
      <c r="H134" s="59">
        <f>'пр.4 вед.стр.'!I59</f>
        <v>466.8</v>
      </c>
      <c r="I134" s="190">
        <f t="shared" si="33"/>
        <v>36.463862801143328</v>
      </c>
    </row>
    <row r="135" spans="1:9" ht="25.5">
      <c r="A135" s="16" t="s">
        <v>331</v>
      </c>
      <c r="B135" s="20" t="s">
        <v>62</v>
      </c>
      <c r="C135" s="20" t="s">
        <v>83</v>
      </c>
      <c r="D135" s="97" t="s">
        <v>429</v>
      </c>
      <c r="E135" s="97" t="s">
        <v>92</v>
      </c>
      <c r="F135" s="59">
        <f>F136</f>
        <v>28.999999999999993</v>
      </c>
      <c r="G135" s="59">
        <f t="shared" ref="G135:H135" si="62">G136</f>
        <v>23</v>
      </c>
      <c r="H135" s="59">
        <f t="shared" si="62"/>
        <v>5.9999999999999929</v>
      </c>
      <c r="I135" s="190">
        <f t="shared" si="33"/>
        <v>79.310344827586221</v>
      </c>
    </row>
    <row r="136" spans="1:9" ht="25.5">
      <c r="A136" s="16" t="s">
        <v>556</v>
      </c>
      <c r="B136" s="20" t="s">
        <v>62</v>
      </c>
      <c r="C136" s="20" t="s">
        <v>83</v>
      </c>
      <c r="D136" s="97" t="s">
        <v>429</v>
      </c>
      <c r="E136" s="97" t="s">
        <v>89</v>
      </c>
      <c r="F136" s="59">
        <f>'пр.4 вед.стр.'!G61</f>
        <v>28.999999999999993</v>
      </c>
      <c r="G136" s="59">
        <f>'пр.4 вед.стр.'!H61</f>
        <v>23</v>
      </c>
      <c r="H136" s="59">
        <f>'пр.4 вед.стр.'!I61</f>
        <v>5.9999999999999929</v>
      </c>
      <c r="I136" s="190">
        <f t="shared" si="33"/>
        <v>79.310344827586221</v>
      </c>
    </row>
    <row r="137" spans="1:9" ht="17.45" customHeight="1">
      <c r="A137" s="16" t="s">
        <v>430</v>
      </c>
      <c r="B137" s="20" t="s">
        <v>62</v>
      </c>
      <c r="C137" s="20" t="s">
        <v>83</v>
      </c>
      <c r="D137" s="102" t="s">
        <v>431</v>
      </c>
      <c r="E137" s="97"/>
      <c r="F137" s="59">
        <f>F146+F158+F169+F181+F138</f>
        <v>2636.8</v>
      </c>
      <c r="G137" s="59">
        <f t="shared" ref="G137:H137" si="63">G146+G158+G169+G181+G138</f>
        <v>2506.4</v>
      </c>
      <c r="H137" s="59">
        <f t="shared" si="63"/>
        <v>130.4</v>
      </c>
      <c r="I137" s="190">
        <f t="shared" si="33"/>
        <v>95.054611650485427</v>
      </c>
    </row>
    <row r="138" spans="1:9" ht="25.5">
      <c r="A138" s="126" t="s">
        <v>374</v>
      </c>
      <c r="B138" s="20" t="s">
        <v>62</v>
      </c>
      <c r="C138" s="20" t="s">
        <v>83</v>
      </c>
      <c r="D138" s="102" t="str">
        <f>'пр.4 вед.стр.'!E303</f>
        <v xml:space="preserve">7Р 0 00 00000 </v>
      </c>
      <c r="E138" s="98"/>
      <c r="F138" s="59">
        <f>F139</f>
        <v>1400</v>
      </c>
      <c r="G138" s="59">
        <f t="shared" ref="G138:H138" si="64">G139</f>
        <v>1400</v>
      </c>
      <c r="H138" s="59">
        <f t="shared" si="64"/>
        <v>0</v>
      </c>
      <c r="I138" s="190">
        <f t="shared" ref="I138:I201" si="65">G138/F138*100</f>
        <v>100</v>
      </c>
    </row>
    <row r="139" spans="1:9" ht="38.25">
      <c r="A139" s="16" t="str">
        <f>'пр.4 вед.стр.'!A304</f>
        <v>Основное мероприятие "Обеспечение государственных полномочий по организации и осуществлению деятельности органов опеки и попечительства"</v>
      </c>
      <c r="B139" s="20" t="s">
        <v>62</v>
      </c>
      <c r="C139" s="20" t="s">
        <v>83</v>
      </c>
      <c r="D139" s="102" t="str">
        <f>'пр.4 вед.стр.'!E304</f>
        <v xml:space="preserve">7Р 0 04 00000 </v>
      </c>
      <c r="E139" s="97"/>
      <c r="F139" s="59">
        <f>F140+F143</f>
        <v>1400</v>
      </c>
      <c r="G139" s="59">
        <f t="shared" ref="G139:H139" si="66">G140+G143</f>
        <v>1400</v>
      </c>
      <c r="H139" s="59">
        <f t="shared" si="66"/>
        <v>0</v>
      </c>
      <c r="I139" s="190">
        <f t="shared" si="65"/>
        <v>100</v>
      </c>
    </row>
    <row r="140" spans="1:9" ht="51">
      <c r="A140" s="16" t="str">
        <f>'пр.4 вед.стр.'!A305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v>
      </c>
      <c r="B140" s="20" t="s">
        <v>62</v>
      </c>
      <c r="C140" s="20" t="s">
        <v>83</v>
      </c>
      <c r="D140" s="102" t="str">
        <f>'пр.4 вед.стр.'!E305</f>
        <v>7Р 0 04 R0820</v>
      </c>
      <c r="E140" s="97"/>
      <c r="F140" s="59">
        <f>F141</f>
        <v>1162.2</v>
      </c>
      <c r="G140" s="59">
        <f t="shared" ref="G140:H141" si="67">G141</f>
        <v>1162.2</v>
      </c>
      <c r="H140" s="59">
        <f t="shared" si="67"/>
        <v>0</v>
      </c>
      <c r="I140" s="190">
        <f t="shared" si="65"/>
        <v>100</v>
      </c>
    </row>
    <row r="141" spans="1:9" ht="25.5">
      <c r="A141" s="16" t="str">
        <f>'пр.4 вед.стр.'!A306</f>
        <v>Капитальные вложения в объекты государственной (муниципальной) собственности</v>
      </c>
      <c r="B141" s="20" t="s">
        <v>62</v>
      </c>
      <c r="C141" s="20" t="s">
        <v>83</v>
      </c>
      <c r="D141" s="102" t="str">
        <f>'пр.4 вед.стр.'!E306</f>
        <v>7Р 0 04 R0820</v>
      </c>
      <c r="E141" s="97" t="str">
        <f>'пр.4 вед.стр.'!F306</f>
        <v>400</v>
      </c>
      <c r="F141" s="59">
        <f>F142</f>
        <v>1162.2</v>
      </c>
      <c r="G141" s="59">
        <f t="shared" si="67"/>
        <v>1162.2</v>
      </c>
      <c r="H141" s="59">
        <f t="shared" si="67"/>
        <v>0</v>
      </c>
      <c r="I141" s="190">
        <f t="shared" si="65"/>
        <v>100</v>
      </c>
    </row>
    <row r="142" spans="1:9">
      <c r="A142" s="16" t="str">
        <f>'пр.4 вед.стр.'!A307</f>
        <v>Бюджетные инвестиции</v>
      </c>
      <c r="B142" s="20" t="s">
        <v>62</v>
      </c>
      <c r="C142" s="20" t="s">
        <v>83</v>
      </c>
      <c r="D142" s="102" t="str">
        <f>'пр.4 вед.стр.'!E307</f>
        <v>7Р 0 04 R0820</v>
      </c>
      <c r="E142" s="97" t="str">
        <f>'пр.4 вед.стр.'!F307</f>
        <v>410</v>
      </c>
      <c r="F142" s="59">
        <f>'пр.4 вед.стр.'!G307</f>
        <v>1162.2</v>
      </c>
      <c r="G142" s="59">
        <f>'пр.4 вед.стр.'!H307</f>
        <v>1162.2</v>
      </c>
      <c r="H142" s="59">
        <f>'пр.4 вед.стр.'!I307</f>
        <v>0</v>
      </c>
      <c r="I142" s="190">
        <f t="shared" si="65"/>
        <v>100</v>
      </c>
    </row>
    <row r="143" spans="1:9" ht="63.75">
      <c r="A143" s="16" t="str">
        <f>'пр.4 вед.стр.'!A308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143" s="20" t="s">
        <v>62</v>
      </c>
      <c r="C143" s="20" t="s">
        <v>83</v>
      </c>
      <c r="D143" s="102" t="str">
        <f>'пр.4 вед.стр.'!E308</f>
        <v>7Р 0 04 74100</v>
      </c>
      <c r="E143" s="97"/>
      <c r="F143" s="59">
        <f>F144</f>
        <v>237.8</v>
      </c>
      <c r="G143" s="59">
        <f t="shared" ref="G143:H144" si="68">G144</f>
        <v>237.8</v>
      </c>
      <c r="H143" s="59">
        <f t="shared" si="68"/>
        <v>0</v>
      </c>
      <c r="I143" s="190">
        <f t="shared" si="65"/>
        <v>100</v>
      </c>
    </row>
    <row r="144" spans="1:9" ht="25.5">
      <c r="A144" s="16" t="str">
        <f>'пр.4 вед.стр.'!A309</f>
        <v>Капитальные вложения в объекты государственной (муниципальной) собственности</v>
      </c>
      <c r="B144" s="20" t="s">
        <v>62</v>
      </c>
      <c r="C144" s="20" t="s">
        <v>83</v>
      </c>
      <c r="D144" s="102" t="str">
        <f>'пр.4 вед.стр.'!E309</f>
        <v>7Р 0 04 74100</v>
      </c>
      <c r="E144" s="97" t="str">
        <f>'пр.4 вед.стр.'!F309</f>
        <v>400</v>
      </c>
      <c r="F144" s="59">
        <f>F145</f>
        <v>237.8</v>
      </c>
      <c r="G144" s="59">
        <f t="shared" si="68"/>
        <v>237.8</v>
      </c>
      <c r="H144" s="59">
        <f t="shared" si="68"/>
        <v>0</v>
      </c>
      <c r="I144" s="190">
        <f t="shared" si="65"/>
        <v>100</v>
      </c>
    </row>
    <row r="145" spans="1:9">
      <c r="A145" s="16" t="str">
        <f>'пр.4 вед.стр.'!A310</f>
        <v>Бюджетные инвестиции</v>
      </c>
      <c r="B145" s="20" t="s">
        <v>62</v>
      </c>
      <c r="C145" s="20" t="s">
        <v>83</v>
      </c>
      <c r="D145" s="102" t="str">
        <f>'пр.4 вед.стр.'!E310</f>
        <v>7Р 0 04 74100</v>
      </c>
      <c r="E145" s="97" t="str">
        <f>'пр.4 вед.стр.'!F310</f>
        <v>410</v>
      </c>
      <c r="F145" s="59">
        <f>'пр.4 вед.стр.'!G310</f>
        <v>237.8</v>
      </c>
      <c r="G145" s="59">
        <f>'пр.4 вед.стр.'!H310</f>
        <v>237.8</v>
      </c>
      <c r="H145" s="59">
        <f>'пр.4 вед.стр.'!I310</f>
        <v>0</v>
      </c>
      <c r="I145" s="190">
        <f t="shared" si="65"/>
        <v>100</v>
      </c>
    </row>
    <row r="146" spans="1:9" ht="38.25">
      <c r="A146" s="28" t="str">
        <f>'пр.4 вед.стр.'!A63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146" s="20" t="s">
        <v>62</v>
      </c>
      <c r="C146" s="20" t="s">
        <v>83</v>
      </c>
      <c r="D146" s="102" t="str">
        <f>'пр.4 вед.стр.'!E63</f>
        <v xml:space="preserve">7Т 0 00 00000 </v>
      </c>
      <c r="E146" s="98"/>
      <c r="F146" s="59">
        <f>F147+F154</f>
        <v>70</v>
      </c>
      <c r="G146" s="59">
        <f t="shared" ref="G146:H146" si="69">G147+G154</f>
        <v>66.600000000000009</v>
      </c>
      <c r="H146" s="59">
        <f t="shared" si="69"/>
        <v>3.4000000000000004</v>
      </c>
      <c r="I146" s="190">
        <f t="shared" si="65"/>
        <v>95.142857142857153</v>
      </c>
    </row>
    <row r="147" spans="1:9" ht="25.5">
      <c r="A147" s="28" t="str">
        <f>'пр.4 вед.стр.'!A64</f>
        <v>Основное мероприятие "Усиление роли общественности в профилактике правонарушений и борьбе с преступностью"</v>
      </c>
      <c r="B147" s="20" t="s">
        <v>62</v>
      </c>
      <c r="C147" s="20" t="s">
        <v>83</v>
      </c>
      <c r="D147" s="102" t="str">
        <f>'пр.4 вед.стр.'!E64</f>
        <v xml:space="preserve">7Т 0 04 00000 </v>
      </c>
      <c r="E147" s="98"/>
      <c r="F147" s="59">
        <f>F148+F151</f>
        <v>46.7</v>
      </c>
      <c r="G147" s="59">
        <f t="shared" ref="G147:H147" si="70">G148+G151</f>
        <v>43.300000000000004</v>
      </c>
      <c r="H147" s="59">
        <f t="shared" si="70"/>
        <v>3.4000000000000004</v>
      </c>
      <c r="I147" s="190">
        <f t="shared" si="65"/>
        <v>92.719486081370448</v>
      </c>
    </row>
    <row r="148" spans="1:9" ht="51">
      <c r="A148" s="28" t="str">
        <f>'пр.4 вед.стр.'!A65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48" s="20" t="s">
        <v>62</v>
      </c>
      <c r="C148" s="20" t="s">
        <v>83</v>
      </c>
      <c r="D148" s="102" t="str">
        <f>'пр.4 вед.стр.'!E65</f>
        <v xml:space="preserve">7Т 0 04 95000 </v>
      </c>
      <c r="E148" s="98"/>
      <c r="F148" s="59">
        <f>F149</f>
        <v>8</v>
      </c>
      <c r="G148" s="59">
        <f t="shared" ref="G148:H149" si="71">G149</f>
        <v>4.5999999999999996</v>
      </c>
      <c r="H148" s="59">
        <f t="shared" si="71"/>
        <v>3.4000000000000004</v>
      </c>
      <c r="I148" s="190">
        <f t="shared" si="65"/>
        <v>57.499999999999993</v>
      </c>
    </row>
    <row r="149" spans="1:9" ht="25.5">
      <c r="A149" s="16" t="str">
        <f>'пр.4 вед.стр.'!A66</f>
        <v>Закупка товаров, работ и услуг для обеспечения государственных (муниципальных) нужд</v>
      </c>
      <c r="B149" s="20" t="s">
        <v>62</v>
      </c>
      <c r="C149" s="20" t="s">
        <v>83</v>
      </c>
      <c r="D149" s="102" t="str">
        <f>'пр.4 вед.стр.'!E66</f>
        <v xml:space="preserve">7Т 0 04 95000 </v>
      </c>
      <c r="E149" s="98" t="str">
        <f>'пр.4 вед.стр.'!F66</f>
        <v>200</v>
      </c>
      <c r="F149" s="59">
        <f>F150</f>
        <v>8</v>
      </c>
      <c r="G149" s="59">
        <f t="shared" si="71"/>
        <v>4.5999999999999996</v>
      </c>
      <c r="H149" s="59">
        <f t="shared" si="71"/>
        <v>3.4000000000000004</v>
      </c>
      <c r="I149" s="190">
        <f t="shared" si="65"/>
        <v>57.499999999999993</v>
      </c>
    </row>
    <row r="150" spans="1:9" ht="25.5">
      <c r="A150" s="16" t="s">
        <v>556</v>
      </c>
      <c r="B150" s="20" t="s">
        <v>62</v>
      </c>
      <c r="C150" s="20" t="s">
        <v>83</v>
      </c>
      <c r="D150" s="102" t="str">
        <f>'пр.4 вед.стр.'!E67</f>
        <v xml:space="preserve">7Т 0 04 95000 </v>
      </c>
      <c r="E150" s="98" t="str">
        <f>'пр.4 вед.стр.'!F67</f>
        <v>240</v>
      </c>
      <c r="F150" s="59">
        <f>'пр.4 вед.стр.'!G67</f>
        <v>8</v>
      </c>
      <c r="G150" s="59">
        <f>'пр.4 вед.стр.'!H67</f>
        <v>4.5999999999999996</v>
      </c>
      <c r="H150" s="59">
        <f>'пр.4 вед.стр.'!I67</f>
        <v>3.4000000000000004</v>
      </c>
      <c r="I150" s="190">
        <f t="shared" si="65"/>
        <v>57.499999999999993</v>
      </c>
    </row>
    <row r="151" spans="1:9" ht="38.25">
      <c r="A151" s="28" t="str">
        <f>'пр.4 вед.стр.'!A68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51" s="20" t="s">
        <v>62</v>
      </c>
      <c r="C151" s="20" t="s">
        <v>83</v>
      </c>
      <c r="D151" s="102" t="str">
        <f>'пр.4 вед.стр.'!E68</f>
        <v xml:space="preserve">7Т 0 04 95140 </v>
      </c>
      <c r="E151" s="98"/>
      <c r="F151" s="59">
        <f>F152</f>
        <v>38.700000000000003</v>
      </c>
      <c r="G151" s="59">
        <f t="shared" ref="G151:H152" si="72">G152</f>
        <v>38.700000000000003</v>
      </c>
      <c r="H151" s="59">
        <f t="shared" si="72"/>
        <v>0</v>
      </c>
      <c r="I151" s="190">
        <f t="shared" si="65"/>
        <v>100</v>
      </c>
    </row>
    <row r="152" spans="1:9" ht="51">
      <c r="A152" s="16" t="str">
        <f>'пр.4 вед.стр.'!A69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2" s="20" t="s">
        <v>62</v>
      </c>
      <c r="C152" s="20" t="s">
        <v>83</v>
      </c>
      <c r="D152" s="102" t="str">
        <f>D151</f>
        <v xml:space="preserve">7Т 0 04 95140 </v>
      </c>
      <c r="E152" s="98" t="str">
        <f>'пр.4 вед.стр.'!F69</f>
        <v>100</v>
      </c>
      <c r="F152" s="59">
        <f>F153</f>
        <v>38.700000000000003</v>
      </c>
      <c r="G152" s="59">
        <f t="shared" si="72"/>
        <v>38.700000000000003</v>
      </c>
      <c r="H152" s="59">
        <f t="shared" si="72"/>
        <v>0</v>
      </c>
      <c r="I152" s="190">
        <f t="shared" si="65"/>
        <v>100</v>
      </c>
    </row>
    <row r="153" spans="1:9" ht="25.5">
      <c r="A153" s="16" t="str">
        <f>'пр.4 вед.стр.'!A70</f>
        <v>Расходы на выплаты персоналу государственных (муниципальных) органов</v>
      </c>
      <c r="B153" s="20" t="s">
        <v>62</v>
      </c>
      <c r="C153" s="20" t="s">
        <v>83</v>
      </c>
      <c r="D153" s="102" t="str">
        <f>D152</f>
        <v xml:space="preserve">7Т 0 04 95140 </v>
      </c>
      <c r="E153" s="98" t="str">
        <f>'пр.4 вед.стр.'!F70</f>
        <v>120</v>
      </c>
      <c r="F153" s="59">
        <f>'пр.4 вед.стр.'!G70</f>
        <v>38.700000000000003</v>
      </c>
      <c r="G153" s="59">
        <f>'пр.4 вед.стр.'!H70</f>
        <v>38.700000000000003</v>
      </c>
      <c r="H153" s="59">
        <f>'пр.4 вед.стр.'!I70</f>
        <v>0</v>
      </c>
      <c r="I153" s="190">
        <f t="shared" si="65"/>
        <v>100</v>
      </c>
    </row>
    <row r="154" spans="1:9" ht="25.5">
      <c r="A154" s="16" t="str">
        <f>'пр.4 вед.стр.'!A71</f>
        <v>Основное мероприятие "Профилактика правонарушений по отдельным видам противоправной деятельности"</v>
      </c>
      <c r="B154" s="20" t="s">
        <v>62</v>
      </c>
      <c r="C154" s="20" t="s">
        <v>83</v>
      </c>
      <c r="D154" s="102" t="str">
        <f>'пр.4 вед.стр.'!E71</f>
        <v xml:space="preserve">7Т 0 05 00000 </v>
      </c>
      <c r="E154" s="98"/>
      <c r="F154" s="59">
        <f>F155</f>
        <v>23.3</v>
      </c>
      <c r="G154" s="59">
        <f t="shared" ref="G154:H156" si="73">G155</f>
        <v>23.3</v>
      </c>
      <c r="H154" s="59">
        <f t="shared" si="73"/>
        <v>0</v>
      </c>
      <c r="I154" s="190">
        <f t="shared" si="65"/>
        <v>100</v>
      </c>
    </row>
    <row r="155" spans="1:9" ht="25.5">
      <c r="A155" s="16" t="str">
        <f>'пр.4 вед.стр.'!A72</f>
        <v>Приобретение, изготовление баннеров и иной наглядной продукции антитеррористической направленности</v>
      </c>
      <c r="B155" s="20" t="s">
        <v>62</v>
      </c>
      <c r="C155" s="20" t="s">
        <v>83</v>
      </c>
      <c r="D155" s="102" t="str">
        <f>'пр.4 вед.стр.'!E72</f>
        <v xml:space="preserve">7Т 0 05 95160 </v>
      </c>
      <c r="E155" s="98"/>
      <c r="F155" s="59">
        <f>F156</f>
        <v>23.3</v>
      </c>
      <c r="G155" s="59">
        <f t="shared" si="73"/>
        <v>23.3</v>
      </c>
      <c r="H155" s="59">
        <f t="shared" si="73"/>
        <v>0</v>
      </c>
      <c r="I155" s="190">
        <f t="shared" si="65"/>
        <v>100</v>
      </c>
    </row>
    <row r="156" spans="1:9" ht="25.5">
      <c r="A156" s="16" t="str">
        <f>'пр.4 вед.стр.'!A73</f>
        <v>Закупка товаров, работ и услуг для обеспечения государственных (муниципальных) нужд</v>
      </c>
      <c r="B156" s="20" t="s">
        <v>62</v>
      </c>
      <c r="C156" s="20" t="s">
        <v>83</v>
      </c>
      <c r="D156" s="102" t="str">
        <f>'пр.4 вед.стр.'!E73</f>
        <v xml:space="preserve">7Т 0 05 95160 </v>
      </c>
      <c r="E156" s="98" t="str">
        <f>'пр.4 вед.стр.'!F73</f>
        <v>200</v>
      </c>
      <c r="F156" s="59">
        <f>F157</f>
        <v>23.3</v>
      </c>
      <c r="G156" s="59">
        <f t="shared" si="73"/>
        <v>23.3</v>
      </c>
      <c r="H156" s="59">
        <f t="shared" si="73"/>
        <v>0</v>
      </c>
      <c r="I156" s="190">
        <f t="shared" si="65"/>
        <v>100</v>
      </c>
    </row>
    <row r="157" spans="1:9" ht="25.5">
      <c r="A157" s="16" t="s">
        <v>556</v>
      </c>
      <c r="B157" s="20" t="s">
        <v>62</v>
      </c>
      <c r="C157" s="20" t="s">
        <v>83</v>
      </c>
      <c r="D157" s="102" t="str">
        <f>'пр.4 вед.стр.'!E74</f>
        <v xml:space="preserve">7Т 0 05 95160 </v>
      </c>
      <c r="E157" s="98" t="str">
        <f>'пр.4 вед.стр.'!F74</f>
        <v>240</v>
      </c>
      <c r="F157" s="59">
        <f>'пр.4 вед.стр.'!G74</f>
        <v>23.3</v>
      </c>
      <c r="G157" s="59">
        <f>'пр.4 вед.стр.'!H74</f>
        <v>23.3</v>
      </c>
      <c r="H157" s="59">
        <f>'пр.4 вед.стр.'!I74</f>
        <v>0</v>
      </c>
      <c r="I157" s="190">
        <f t="shared" si="65"/>
        <v>100</v>
      </c>
    </row>
    <row r="158" spans="1:9" ht="38.25">
      <c r="A158" s="16" t="str">
        <f>'пр.4 вед.стр.'!A75</f>
        <v>Муниципальная программа "Развитие муниципальной службы в муниципальном образовании  "Сусуманский городской округ" на 2018- 2022 годы"</v>
      </c>
      <c r="B158" s="20" t="s">
        <v>62</v>
      </c>
      <c r="C158" s="20" t="s">
        <v>83</v>
      </c>
      <c r="D158" s="102" t="str">
        <f>'пр.4 вед.стр.'!E75</f>
        <v>7R 0 00 00000</v>
      </c>
      <c r="E158" s="98"/>
      <c r="F158" s="59">
        <f>F159</f>
        <v>122.3</v>
      </c>
      <c r="G158" s="59">
        <f t="shared" ref="G158:H158" si="74">G159</f>
        <v>115.3</v>
      </c>
      <c r="H158" s="59">
        <f t="shared" si="74"/>
        <v>7</v>
      </c>
      <c r="I158" s="190">
        <f t="shared" si="65"/>
        <v>94.276369582992629</v>
      </c>
    </row>
    <row r="159" spans="1:9" ht="38.25">
      <c r="A159" s="16" t="str">
        <f>'пр.4 вед.стр.'!A76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59" s="20" t="s">
        <v>62</v>
      </c>
      <c r="C159" s="20" t="s">
        <v>83</v>
      </c>
      <c r="D159" s="102" t="str">
        <f>'пр.4 вед.стр.'!E76</f>
        <v>7R 0 01 00000</v>
      </c>
      <c r="E159" s="98"/>
      <c r="F159" s="59">
        <f>F160+F163+F166</f>
        <v>122.3</v>
      </c>
      <c r="G159" s="59">
        <f t="shared" ref="G159:H159" si="75">G160+G163+G166</f>
        <v>115.3</v>
      </c>
      <c r="H159" s="59">
        <f t="shared" si="75"/>
        <v>7</v>
      </c>
      <c r="I159" s="190">
        <f t="shared" si="65"/>
        <v>94.276369582992629</v>
      </c>
    </row>
    <row r="160" spans="1:9" ht="25.5">
      <c r="A160" s="16" t="str">
        <f>'пр.4 вед.стр.'!A77</f>
        <v xml:space="preserve">Дополнительное профессиональное образование для лиц, замещающих муниципальные должности                         </v>
      </c>
      <c r="B160" s="20" t="s">
        <v>62</v>
      </c>
      <c r="C160" s="20" t="s">
        <v>83</v>
      </c>
      <c r="D160" s="102" t="str">
        <f>'пр.4 вед.стр.'!E77</f>
        <v>7R 0 01 73260</v>
      </c>
      <c r="E160" s="98"/>
      <c r="F160" s="59">
        <f>F161</f>
        <v>20</v>
      </c>
      <c r="G160" s="59">
        <f t="shared" ref="G160:H161" si="76">G161</f>
        <v>20</v>
      </c>
      <c r="H160" s="59">
        <f t="shared" si="76"/>
        <v>0</v>
      </c>
      <c r="I160" s="190">
        <f t="shared" si="65"/>
        <v>100</v>
      </c>
    </row>
    <row r="161" spans="1:14" ht="25.5">
      <c r="A161" s="16" t="str">
        <f>'пр.4 вед.стр.'!A78</f>
        <v>Закупка товаров, работ и услуг для обеспечения государственных (муниципальных) нужд</v>
      </c>
      <c r="B161" s="20" t="s">
        <v>62</v>
      </c>
      <c r="C161" s="20" t="s">
        <v>83</v>
      </c>
      <c r="D161" s="102" t="str">
        <f>'пр.4 вед.стр.'!E78</f>
        <v>7R 0 01 73260</v>
      </c>
      <c r="E161" s="98" t="str">
        <f>'пр.4 вед.стр.'!F78</f>
        <v>200</v>
      </c>
      <c r="F161" s="59">
        <f>F162</f>
        <v>20</v>
      </c>
      <c r="G161" s="59">
        <f t="shared" si="76"/>
        <v>20</v>
      </c>
      <c r="H161" s="59">
        <f t="shared" si="76"/>
        <v>0</v>
      </c>
      <c r="I161" s="190">
        <f t="shared" si="65"/>
        <v>100</v>
      </c>
    </row>
    <row r="162" spans="1:14" ht="25.5">
      <c r="A162" s="16" t="s">
        <v>556</v>
      </c>
      <c r="B162" s="20" t="s">
        <v>62</v>
      </c>
      <c r="C162" s="20" t="s">
        <v>83</v>
      </c>
      <c r="D162" s="102" t="str">
        <f>'пр.4 вед.стр.'!E79</f>
        <v>7R 0 01 73260</v>
      </c>
      <c r="E162" s="98" t="str">
        <f>'пр.4 вед.стр.'!F79</f>
        <v>240</v>
      </c>
      <c r="F162" s="59">
        <f>'пр.4 вед.стр.'!G79</f>
        <v>20</v>
      </c>
      <c r="G162" s="59">
        <f>'пр.4 вед.стр.'!H79</f>
        <v>20</v>
      </c>
      <c r="H162" s="59">
        <f>'пр.4 вед.стр.'!I79</f>
        <v>0</v>
      </c>
      <c r="I162" s="190">
        <f t="shared" si="65"/>
        <v>100</v>
      </c>
    </row>
    <row r="163" spans="1:14" ht="25.5">
      <c r="A163" s="16" t="str">
        <f>'пр.4 вед.стр.'!A80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63" s="20" t="s">
        <v>62</v>
      </c>
      <c r="C163" s="20" t="s">
        <v>83</v>
      </c>
      <c r="D163" s="102" t="str">
        <f>'пр.4 вед.стр.'!E80</f>
        <v>7R 0 01 S3260</v>
      </c>
      <c r="E163" s="98"/>
      <c r="F163" s="59">
        <f>F164</f>
        <v>7.3</v>
      </c>
      <c r="G163" s="59">
        <f t="shared" ref="G163:H164" si="77">G164</f>
        <v>0.3</v>
      </c>
      <c r="H163" s="59">
        <f t="shared" si="77"/>
        <v>7</v>
      </c>
      <c r="I163" s="190">
        <f t="shared" si="65"/>
        <v>4.10958904109589</v>
      </c>
    </row>
    <row r="164" spans="1:14" ht="25.5">
      <c r="A164" s="16" t="str">
        <f>'пр.4 вед.стр.'!A81</f>
        <v>Закупка товаров, работ и услуг для обеспечения государственных (муниципальных) нужд</v>
      </c>
      <c r="B164" s="20" t="s">
        <v>62</v>
      </c>
      <c r="C164" s="20" t="s">
        <v>83</v>
      </c>
      <c r="D164" s="102" t="str">
        <f>'пр.4 вед.стр.'!E81</f>
        <v>7R 0 01 S3260</v>
      </c>
      <c r="E164" s="98" t="str">
        <f>'пр.4 вед.стр.'!F81</f>
        <v>200</v>
      </c>
      <c r="F164" s="59">
        <f>F165</f>
        <v>7.3</v>
      </c>
      <c r="G164" s="59">
        <f t="shared" si="77"/>
        <v>0.3</v>
      </c>
      <c r="H164" s="59">
        <f t="shared" si="77"/>
        <v>7</v>
      </c>
      <c r="I164" s="190">
        <f t="shared" si="65"/>
        <v>4.10958904109589</v>
      </c>
    </row>
    <row r="165" spans="1:14" ht="25.5">
      <c r="A165" s="16" t="s">
        <v>556</v>
      </c>
      <c r="B165" s="20" t="s">
        <v>62</v>
      </c>
      <c r="C165" s="20" t="s">
        <v>83</v>
      </c>
      <c r="D165" s="102" t="str">
        <f>'пр.4 вед.стр.'!E82</f>
        <v>7R 0 01 S3260</v>
      </c>
      <c r="E165" s="98" t="str">
        <f>'пр.4 вед.стр.'!F82</f>
        <v>240</v>
      </c>
      <c r="F165" s="59">
        <f>'пр.4 вед.стр.'!G82</f>
        <v>7.3</v>
      </c>
      <c r="G165" s="59">
        <f>'пр.4 вед.стр.'!H82</f>
        <v>0.3</v>
      </c>
      <c r="H165" s="59">
        <f>'пр.4 вед.стр.'!I82</f>
        <v>7</v>
      </c>
      <c r="I165" s="190">
        <f t="shared" si="65"/>
        <v>4.10958904109589</v>
      </c>
    </row>
    <row r="166" spans="1:14">
      <c r="A166" s="16" t="str">
        <f>'пр.4 вед.стр.'!A83</f>
        <v>Повышение профессионального уровня муниципальных служащих</v>
      </c>
      <c r="B166" s="20" t="s">
        <v>62</v>
      </c>
      <c r="C166" s="20" t="s">
        <v>83</v>
      </c>
      <c r="D166" s="102" t="str">
        <f>'пр.4 вед.стр.'!E83</f>
        <v>7R 0 01 98600</v>
      </c>
      <c r="E166" s="98"/>
      <c r="F166" s="59">
        <f>F167</f>
        <v>95</v>
      </c>
      <c r="G166" s="59">
        <f t="shared" ref="G166:H167" si="78">G167</f>
        <v>95</v>
      </c>
      <c r="H166" s="59">
        <f t="shared" si="78"/>
        <v>0</v>
      </c>
      <c r="I166" s="190">
        <f t="shared" si="65"/>
        <v>100</v>
      </c>
    </row>
    <row r="167" spans="1:14" ht="25.5">
      <c r="A167" s="16" t="str">
        <f>'пр.4 вед.стр.'!A84</f>
        <v>Закупка товаров, работ и услуг для обеспечения государственных (муниципальных) нужд</v>
      </c>
      <c r="B167" s="20" t="s">
        <v>62</v>
      </c>
      <c r="C167" s="20" t="s">
        <v>83</v>
      </c>
      <c r="D167" s="102" t="str">
        <f>'пр.4 вед.стр.'!E84</f>
        <v>7R 0 01 98600</v>
      </c>
      <c r="E167" s="98" t="str">
        <f>'пр.4 вед.стр.'!F84</f>
        <v>200</v>
      </c>
      <c r="F167" s="59">
        <f>F168</f>
        <v>95</v>
      </c>
      <c r="G167" s="59">
        <f t="shared" si="78"/>
        <v>95</v>
      </c>
      <c r="H167" s="59">
        <f t="shared" si="78"/>
        <v>0</v>
      </c>
      <c r="I167" s="190">
        <f t="shared" si="65"/>
        <v>100</v>
      </c>
    </row>
    <row r="168" spans="1:14" ht="25.5">
      <c r="A168" s="16" t="s">
        <v>556</v>
      </c>
      <c r="B168" s="20" t="s">
        <v>62</v>
      </c>
      <c r="C168" s="20" t="s">
        <v>83</v>
      </c>
      <c r="D168" s="102" t="str">
        <f>'пр.4 вед.стр.'!E85</f>
        <v>7R 0 01 98600</v>
      </c>
      <c r="E168" s="98" t="str">
        <f>'пр.4 вед.стр.'!F85</f>
        <v>240</v>
      </c>
      <c r="F168" s="59">
        <f>'пр.4 вед.стр.'!G85</f>
        <v>95</v>
      </c>
      <c r="G168" s="59">
        <f>'пр.4 вед.стр.'!H85</f>
        <v>95</v>
      </c>
      <c r="H168" s="59">
        <f>'пр.4 вед.стр.'!I85</f>
        <v>0</v>
      </c>
      <c r="I168" s="190">
        <f t="shared" si="65"/>
        <v>100</v>
      </c>
    </row>
    <row r="169" spans="1:14" ht="51">
      <c r="A169" s="16" t="str">
        <f>'пр.4 вед.стр.'!A86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169" s="20" t="s">
        <v>62</v>
      </c>
      <c r="C169" s="20" t="s">
        <v>83</v>
      </c>
      <c r="D169" s="97" t="str">
        <f>'пр.4 вед.стр.'!E86</f>
        <v>7L 0 00 00000</v>
      </c>
      <c r="E169" s="98"/>
      <c r="F169" s="59">
        <f>F170+F174</f>
        <v>44.5</v>
      </c>
      <c r="G169" s="59">
        <f t="shared" ref="G169:H169" si="79">G170+G174</f>
        <v>44.5</v>
      </c>
      <c r="H169" s="59">
        <f t="shared" si="79"/>
        <v>0</v>
      </c>
      <c r="I169" s="190">
        <f t="shared" si="65"/>
        <v>100</v>
      </c>
      <c r="K169" s="70"/>
      <c r="L169" s="70"/>
      <c r="M169" s="70"/>
      <c r="N169" s="70"/>
    </row>
    <row r="170" spans="1:14" ht="25.5">
      <c r="A170" s="16" t="str">
        <f>'пр.4 вед.стр.'!A87</f>
        <v>Основное мероприятие "Содействие развитию институтов гражданского общества"</v>
      </c>
      <c r="B170" s="20" t="s">
        <v>62</v>
      </c>
      <c r="C170" s="20" t="s">
        <v>83</v>
      </c>
      <c r="D170" s="97" t="str">
        <f>'пр.4 вед.стр.'!E87</f>
        <v>7L 0 02 00000</v>
      </c>
      <c r="E170" s="98"/>
      <c r="F170" s="59">
        <f>F171</f>
        <v>13.600000000000001</v>
      </c>
      <c r="G170" s="59">
        <f t="shared" ref="G170:H172" si="80">G171</f>
        <v>13.6</v>
      </c>
      <c r="H170" s="59">
        <f t="shared" si="80"/>
        <v>0</v>
      </c>
      <c r="I170" s="190">
        <f t="shared" si="65"/>
        <v>99.999999999999986</v>
      </c>
    </row>
    <row r="171" spans="1:14" ht="25.5">
      <c r="A171" s="16" t="str">
        <f>'пр.4 вед.стр.'!A88</f>
        <v>Организация участия представителей общественности в мероприятиях областного уровня</v>
      </c>
      <c r="B171" s="20" t="s">
        <v>62</v>
      </c>
      <c r="C171" s="20" t="s">
        <v>83</v>
      </c>
      <c r="D171" s="97" t="str">
        <f>'пр.4 вед.стр.'!E88</f>
        <v>7L 0 02 91800</v>
      </c>
      <c r="E171" s="98"/>
      <c r="F171" s="59">
        <f>F172</f>
        <v>13.600000000000001</v>
      </c>
      <c r="G171" s="59">
        <f t="shared" si="80"/>
        <v>13.6</v>
      </c>
      <c r="H171" s="59">
        <f t="shared" si="80"/>
        <v>0</v>
      </c>
      <c r="I171" s="190">
        <f t="shared" si="65"/>
        <v>99.999999999999986</v>
      </c>
    </row>
    <row r="172" spans="1:14" ht="51">
      <c r="A172" s="16" t="str">
        <f>'пр.4 вед.стр.'!A89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20" t="s">
        <v>62</v>
      </c>
      <c r="C172" s="20" t="s">
        <v>83</v>
      </c>
      <c r="D172" s="97" t="str">
        <f>'пр.4 вед.стр.'!E89</f>
        <v>7L 0 02 91800</v>
      </c>
      <c r="E172" s="98" t="str">
        <f>'пр.4 вед.стр.'!F89</f>
        <v>100</v>
      </c>
      <c r="F172" s="59">
        <f>F173</f>
        <v>13.600000000000001</v>
      </c>
      <c r="G172" s="59">
        <f t="shared" si="80"/>
        <v>13.6</v>
      </c>
      <c r="H172" s="59">
        <f t="shared" si="80"/>
        <v>0</v>
      </c>
      <c r="I172" s="190">
        <f t="shared" si="65"/>
        <v>99.999999999999986</v>
      </c>
    </row>
    <row r="173" spans="1:14" ht="25.5">
      <c r="A173" s="16" t="str">
        <f>'пр.4 вед.стр.'!A90</f>
        <v>Расходы на выплаты персоналу государственных (муниципальных) органов</v>
      </c>
      <c r="B173" s="20" t="s">
        <v>62</v>
      </c>
      <c r="C173" s="20" t="s">
        <v>83</v>
      </c>
      <c r="D173" s="97" t="str">
        <f>'пр.4 вед.стр.'!E90</f>
        <v>7L 0 02 91800</v>
      </c>
      <c r="E173" s="98" t="str">
        <f>'пр.4 вед.стр.'!F90</f>
        <v>120</v>
      </c>
      <c r="F173" s="59">
        <f>'пр.4 вед.стр.'!G90</f>
        <v>13.600000000000001</v>
      </c>
      <c r="G173" s="59">
        <f>'пр.4 вед.стр.'!H90</f>
        <v>13.6</v>
      </c>
      <c r="H173" s="59">
        <f>'пр.4 вед.стр.'!I90</f>
        <v>0</v>
      </c>
      <c r="I173" s="190">
        <f t="shared" si="65"/>
        <v>99.999999999999986</v>
      </c>
    </row>
    <row r="174" spans="1:14">
      <c r="A174" s="16" t="str">
        <f>'пр.4 вед.стр.'!A91</f>
        <v>Основное мероприятие "Гармонизация межнациональных отношений"</v>
      </c>
      <c r="B174" s="20" t="s">
        <v>62</v>
      </c>
      <c r="C174" s="20" t="s">
        <v>83</v>
      </c>
      <c r="D174" s="97" t="str">
        <f>'пр.4 вед.стр.'!E91</f>
        <v>7L 0 03 00000</v>
      </c>
      <c r="E174" s="98"/>
      <c r="F174" s="59">
        <f>F175+F178</f>
        <v>30.9</v>
      </c>
      <c r="G174" s="59">
        <f t="shared" ref="G174:H174" si="81">G175+G178</f>
        <v>30.9</v>
      </c>
      <c r="H174" s="59">
        <f t="shared" si="81"/>
        <v>0</v>
      </c>
      <c r="I174" s="190">
        <f t="shared" si="65"/>
        <v>100</v>
      </c>
    </row>
    <row r="175" spans="1:14" ht="38.25">
      <c r="A175" s="16" t="str">
        <f>'пр.4 вед.стр.'!A92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75" s="20" t="s">
        <v>62</v>
      </c>
      <c r="C175" s="20" t="s">
        <v>83</v>
      </c>
      <c r="D175" s="97" t="str">
        <f>'пр.4 вед.стр.'!E92</f>
        <v>7L 0 03 97100</v>
      </c>
      <c r="E175" s="98"/>
      <c r="F175" s="59">
        <f>F176</f>
        <v>20.9</v>
      </c>
      <c r="G175" s="59">
        <f t="shared" ref="G175:H176" si="82">G176</f>
        <v>20.9</v>
      </c>
      <c r="H175" s="59">
        <f t="shared" si="82"/>
        <v>0</v>
      </c>
      <c r="I175" s="190">
        <f t="shared" si="65"/>
        <v>100</v>
      </c>
    </row>
    <row r="176" spans="1:14" ht="51">
      <c r="A176" s="16" t="str">
        <f>'пр.4 вед.стр.'!A93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20" t="s">
        <v>62</v>
      </c>
      <c r="C176" s="20" t="s">
        <v>83</v>
      </c>
      <c r="D176" s="97" t="str">
        <f>'пр.4 вед.стр.'!E93</f>
        <v>7L 0 03 97100</v>
      </c>
      <c r="E176" s="98" t="str">
        <f>'пр.4 вед.стр.'!F93</f>
        <v>100</v>
      </c>
      <c r="F176" s="59">
        <f>F177</f>
        <v>20.9</v>
      </c>
      <c r="G176" s="59">
        <f t="shared" si="82"/>
        <v>20.9</v>
      </c>
      <c r="H176" s="59">
        <f t="shared" si="82"/>
        <v>0</v>
      </c>
      <c r="I176" s="190">
        <f t="shared" si="65"/>
        <v>100</v>
      </c>
    </row>
    <row r="177" spans="1:9" ht="25.5">
      <c r="A177" s="16" t="str">
        <f>'пр.4 вед.стр.'!A94</f>
        <v>Расходы на выплаты персоналу государственных (муниципальных) органов</v>
      </c>
      <c r="B177" s="20" t="s">
        <v>62</v>
      </c>
      <c r="C177" s="20" t="s">
        <v>83</v>
      </c>
      <c r="D177" s="97" t="str">
        <f>'пр.4 вед.стр.'!E94</f>
        <v>7L 0 03 97100</v>
      </c>
      <c r="E177" s="98" t="str">
        <f>'пр.4 вед.стр.'!F94</f>
        <v>120</v>
      </c>
      <c r="F177" s="59">
        <f>'пр.4 вед.стр.'!G94</f>
        <v>20.9</v>
      </c>
      <c r="G177" s="59">
        <f>'пр.4 вед.стр.'!H94</f>
        <v>20.9</v>
      </c>
      <c r="H177" s="59">
        <f>'пр.4 вед.стр.'!I94</f>
        <v>0</v>
      </c>
      <c r="I177" s="190">
        <f t="shared" si="65"/>
        <v>100</v>
      </c>
    </row>
    <row r="178" spans="1:9" ht="25.5">
      <c r="A178" s="16" t="str">
        <f>'пр.4 вед.стр.'!A95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178" s="20" t="s">
        <v>62</v>
      </c>
      <c r="C178" s="20" t="s">
        <v>83</v>
      </c>
      <c r="D178" s="97" t="str">
        <f>'пр.4 вед.стр.'!E95</f>
        <v>7L 0 03 97200</v>
      </c>
      <c r="E178" s="98"/>
      <c r="F178" s="59">
        <f>F179</f>
        <v>10</v>
      </c>
      <c r="G178" s="59">
        <f t="shared" ref="G178:H179" si="83">G179</f>
        <v>10</v>
      </c>
      <c r="H178" s="59">
        <f t="shared" si="83"/>
        <v>0</v>
      </c>
      <c r="I178" s="190">
        <f t="shared" si="65"/>
        <v>100</v>
      </c>
    </row>
    <row r="179" spans="1:9" ht="25.5">
      <c r="A179" s="16" t="str">
        <f>'пр.4 вед.стр.'!A96</f>
        <v>Закупка товаров, работ и услуг для обеспечения государственных (муниципальных) нужд</v>
      </c>
      <c r="B179" s="20" t="s">
        <v>62</v>
      </c>
      <c r="C179" s="20" t="s">
        <v>83</v>
      </c>
      <c r="D179" s="97" t="str">
        <f>'пр.4 вед.стр.'!E96</f>
        <v>7L 0 03 97200</v>
      </c>
      <c r="E179" s="97" t="str">
        <f>'пр.4 вед.стр.'!F96</f>
        <v>200</v>
      </c>
      <c r="F179" s="59">
        <f>F180</f>
        <v>10</v>
      </c>
      <c r="G179" s="59">
        <f t="shared" si="83"/>
        <v>10</v>
      </c>
      <c r="H179" s="59">
        <f t="shared" si="83"/>
        <v>0</v>
      </c>
      <c r="I179" s="190">
        <f t="shared" si="65"/>
        <v>100</v>
      </c>
    </row>
    <row r="180" spans="1:9" ht="25.5">
      <c r="A180" s="16" t="s">
        <v>556</v>
      </c>
      <c r="B180" s="20" t="s">
        <v>62</v>
      </c>
      <c r="C180" s="20" t="s">
        <v>83</v>
      </c>
      <c r="D180" s="97" t="str">
        <f>'пр.4 вед.стр.'!E97</f>
        <v>7L 0 03 97200</v>
      </c>
      <c r="E180" s="97" t="str">
        <f>'пр.4 вед.стр.'!F97</f>
        <v>240</v>
      </c>
      <c r="F180" s="59">
        <f>'пр.4 вед.стр.'!G97</f>
        <v>10</v>
      </c>
      <c r="G180" s="59">
        <f>'пр.4 вед.стр.'!H97</f>
        <v>10</v>
      </c>
      <c r="H180" s="59">
        <f>'пр.4 вед.стр.'!I97</f>
        <v>0</v>
      </c>
      <c r="I180" s="190">
        <f t="shared" si="65"/>
        <v>100</v>
      </c>
    </row>
    <row r="181" spans="1:9" ht="25.5">
      <c r="A181" s="16" t="str">
        <f>'пр.4 вед.стр.'!A311</f>
        <v>Муниципальная программа "Управление муниципальным имуществом Сусуманского городского округа на 2018-2021 годы"</v>
      </c>
      <c r="B181" s="20" t="s">
        <v>62</v>
      </c>
      <c r="C181" s="20" t="s">
        <v>83</v>
      </c>
      <c r="D181" s="97" t="str">
        <f>'пр.4 вед.стр.'!E311</f>
        <v xml:space="preserve">7Щ 0 00 00000 </v>
      </c>
      <c r="E181" s="98"/>
      <c r="F181" s="59">
        <f>F182</f>
        <v>1000</v>
      </c>
      <c r="G181" s="59">
        <f t="shared" ref="G181:H184" si="84">G182</f>
        <v>880</v>
      </c>
      <c r="H181" s="59">
        <f t="shared" si="84"/>
        <v>120</v>
      </c>
      <c r="I181" s="190">
        <f t="shared" si="65"/>
        <v>88</v>
      </c>
    </row>
    <row r="182" spans="1:9" ht="26.45" customHeight="1">
      <c r="A182" s="16" t="str">
        <f>'пр.4 вед.стр.'!A312</f>
        <v>Основное мероприятие "Проведение на территории Сусуманского городского округа комплексных кадастровых работ"</v>
      </c>
      <c r="B182" s="20" t="s">
        <v>62</v>
      </c>
      <c r="C182" s="20" t="s">
        <v>83</v>
      </c>
      <c r="D182" s="97" t="str">
        <f>'пр.4 вед.стр.'!E312</f>
        <v xml:space="preserve">7Щ 0 01 00000 </v>
      </c>
      <c r="E182" s="97"/>
      <c r="F182" s="59">
        <f>F183</f>
        <v>1000</v>
      </c>
      <c r="G182" s="59">
        <f t="shared" si="84"/>
        <v>880</v>
      </c>
      <c r="H182" s="59">
        <f t="shared" si="84"/>
        <v>120</v>
      </c>
      <c r="I182" s="190">
        <f t="shared" si="65"/>
        <v>88</v>
      </c>
    </row>
    <row r="183" spans="1:9" ht="25.5">
      <c r="A183" s="16" t="str">
        <f>'пр.4 вед.стр.'!A313</f>
        <v>Проведение комплексных кадастровых работ за счет средств областного бюджета</v>
      </c>
      <c r="B183" s="20" t="s">
        <v>62</v>
      </c>
      <c r="C183" s="20" t="s">
        <v>83</v>
      </c>
      <c r="D183" s="97" t="str">
        <f>'пр.4 вед.стр.'!E313</f>
        <v>7Щ 0 01 R5110</v>
      </c>
      <c r="E183" s="97"/>
      <c r="F183" s="59">
        <f>F184</f>
        <v>1000</v>
      </c>
      <c r="G183" s="59">
        <f t="shared" si="84"/>
        <v>880</v>
      </c>
      <c r="H183" s="59">
        <f t="shared" si="84"/>
        <v>120</v>
      </c>
      <c r="I183" s="190">
        <f t="shared" si="65"/>
        <v>88</v>
      </c>
    </row>
    <row r="184" spans="1:9" ht="25.5">
      <c r="A184" s="16" t="str">
        <f>'пр.4 вед.стр.'!A314</f>
        <v>Закупка товаров, работ и услуг для обеспечения государственных (муниципальных) нужд</v>
      </c>
      <c r="B184" s="20" t="s">
        <v>62</v>
      </c>
      <c r="C184" s="20" t="s">
        <v>83</v>
      </c>
      <c r="D184" s="97" t="str">
        <f>'пр.4 вед.стр.'!E314</f>
        <v>7Щ 0 01 R5110</v>
      </c>
      <c r="E184" s="121">
        <v>200</v>
      </c>
      <c r="F184" s="59">
        <f>F185</f>
        <v>1000</v>
      </c>
      <c r="G184" s="59">
        <f t="shared" si="84"/>
        <v>880</v>
      </c>
      <c r="H184" s="59">
        <f t="shared" si="84"/>
        <v>120</v>
      </c>
      <c r="I184" s="190">
        <f t="shared" si="65"/>
        <v>88</v>
      </c>
    </row>
    <row r="185" spans="1:9" ht="25.5">
      <c r="A185" s="16" t="str">
        <f>'пр.4 вед.стр.'!A315</f>
        <v>Иные закупки товаров, работ и услуг для обеспечения государственных ( муниципальных ) нужд</v>
      </c>
      <c r="B185" s="20" t="s">
        <v>62</v>
      </c>
      <c r="C185" s="20" t="s">
        <v>83</v>
      </c>
      <c r="D185" s="97" t="str">
        <f>'пр.4 вед.стр.'!E315</f>
        <v>7Щ 0 01 R5110</v>
      </c>
      <c r="E185" s="121">
        <v>240</v>
      </c>
      <c r="F185" s="59">
        <f>'пр.4 вед.стр.'!G315</f>
        <v>1000</v>
      </c>
      <c r="G185" s="59">
        <f>'пр.4 вед.стр.'!H315</f>
        <v>880</v>
      </c>
      <c r="H185" s="59">
        <f>'пр.4 вед.стр.'!I315</f>
        <v>120</v>
      </c>
      <c r="I185" s="190">
        <f t="shared" si="65"/>
        <v>88</v>
      </c>
    </row>
    <row r="186" spans="1:9">
      <c r="A186" s="15" t="s">
        <v>195</v>
      </c>
      <c r="B186" s="31" t="s">
        <v>63</v>
      </c>
      <c r="C186" s="31" t="s">
        <v>33</v>
      </c>
      <c r="D186" s="103"/>
      <c r="E186" s="101"/>
      <c r="F186" s="143">
        <f>F187</f>
        <v>443.9</v>
      </c>
      <c r="G186" s="143">
        <f t="shared" ref="G186:H189" si="85">G187</f>
        <v>443.9</v>
      </c>
      <c r="H186" s="143">
        <f t="shared" si="85"/>
        <v>0</v>
      </c>
      <c r="I186" s="190">
        <f t="shared" si="65"/>
        <v>100</v>
      </c>
    </row>
    <row r="187" spans="1:9">
      <c r="A187" s="15" t="s">
        <v>194</v>
      </c>
      <c r="B187" s="31" t="s">
        <v>63</v>
      </c>
      <c r="C187" s="31" t="s">
        <v>66</v>
      </c>
      <c r="D187" s="103"/>
      <c r="E187" s="101"/>
      <c r="F187" s="143">
        <f>F188</f>
        <v>443.9</v>
      </c>
      <c r="G187" s="143">
        <f t="shared" si="85"/>
        <v>443.9</v>
      </c>
      <c r="H187" s="143">
        <f t="shared" si="85"/>
        <v>0</v>
      </c>
      <c r="I187" s="190">
        <f t="shared" si="65"/>
        <v>100</v>
      </c>
    </row>
    <row r="188" spans="1:9" ht="38.25">
      <c r="A188" s="151" t="str">
        <f>'пр.4 вед.стр.'!A100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88" s="20" t="s">
        <v>63</v>
      </c>
      <c r="C188" s="20" t="s">
        <v>66</v>
      </c>
      <c r="D188" s="97" t="s">
        <v>416</v>
      </c>
      <c r="E188" s="101"/>
      <c r="F188" s="59">
        <f>F189</f>
        <v>443.9</v>
      </c>
      <c r="G188" s="59">
        <f t="shared" si="85"/>
        <v>443.9</v>
      </c>
      <c r="H188" s="59">
        <f t="shared" si="85"/>
        <v>0</v>
      </c>
      <c r="I188" s="190">
        <f t="shared" si="65"/>
        <v>100</v>
      </c>
    </row>
    <row r="189" spans="1:9" ht="38.25">
      <c r="A189" s="16" t="s">
        <v>432</v>
      </c>
      <c r="B189" s="20" t="s">
        <v>63</v>
      </c>
      <c r="C189" s="20" t="s">
        <v>66</v>
      </c>
      <c r="D189" s="97" t="str">
        <f>'пр.4 вед.стр.'!E101</f>
        <v>Р1 5 00 00000</v>
      </c>
      <c r="E189" s="101"/>
      <c r="F189" s="59">
        <f>F190</f>
        <v>443.9</v>
      </c>
      <c r="G189" s="59">
        <f t="shared" si="85"/>
        <v>443.9</v>
      </c>
      <c r="H189" s="59">
        <f t="shared" si="85"/>
        <v>0</v>
      </c>
      <c r="I189" s="190">
        <f t="shared" si="65"/>
        <v>100</v>
      </c>
    </row>
    <row r="190" spans="1:9" ht="25.5">
      <c r="A190" s="16" t="s">
        <v>193</v>
      </c>
      <c r="B190" s="20" t="s">
        <v>63</v>
      </c>
      <c r="C190" s="20" t="s">
        <v>66</v>
      </c>
      <c r="D190" s="97" t="str">
        <f>'пр.4 вед.стр.'!E102</f>
        <v>Р1 5 00 51180</v>
      </c>
      <c r="E190" s="98"/>
      <c r="F190" s="59">
        <f>F192</f>
        <v>443.9</v>
      </c>
      <c r="G190" s="59">
        <f t="shared" ref="G190:H190" si="86">G192</f>
        <v>443.9</v>
      </c>
      <c r="H190" s="59">
        <f t="shared" si="86"/>
        <v>0</v>
      </c>
      <c r="I190" s="190">
        <f t="shared" si="65"/>
        <v>100</v>
      </c>
    </row>
    <row r="191" spans="1:9" ht="51">
      <c r="A191" s="16" t="s">
        <v>90</v>
      </c>
      <c r="B191" s="20" t="s">
        <v>63</v>
      </c>
      <c r="C191" s="20" t="s">
        <v>66</v>
      </c>
      <c r="D191" s="97" t="str">
        <f>'пр.4 вед.стр.'!E103</f>
        <v>Р1 5 00 51180</v>
      </c>
      <c r="E191" s="98" t="s">
        <v>91</v>
      </c>
      <c r="F191" s="59">
        <f>F192</f>
        <v>443.9</v>
      </c>
      <c r="G191" s="59">
        <f t="shared" ref="G191:H191" si="87">G192</f>
        <v>443.9</v>
      </c>
      <c r="H191" s="59">
        <f t="shared" si="87"/>
        <v>0</v>
      </c>
      <c r="I191" s="190">
        <f t="shared" si="65"/>
        <v>100</v>
      </c>
    </row>
    <row r="192" spans="1:9" ht="25.5">
      <c r="A192" s="16" t="s">
        <v>87</v>
      </c>
      <c r="B192" s="20" t="s">
        <v>63</v>
      </c>
      <c r="C192" s="20" t="s">
        <v>66</v>
      </c>
      <c r="D192" s="97" t="str">
        <f>'пр.4 вед.стр.'!E104</f>
        <v>Р1 5 00 51180</v>
      </c>
      <c r="E192" s="97" t="s">
        <v>88</v>
      </c>
      <c r="F192" s="59">
        <f>'пр.4 вед.стр.'!G104</f>
        <v>443.9</v>
      </c>
      <c r="G192" s="59">
        <f>'пр.4 вед.стр.'!H104</f>
        <v>443.9</v>
      </c>
      <c r="H192" s="59">
        <f>'пр.4 вед.стр.'!I104</f>
        <v>0</v>
      </c>
      <c r="I192" s="190">
        <f t="shared" si="65"/>
        <v>100</v>
      </c>
    </row>
    <row r="193" spans="1:9" ht="25.5">
      <c r="A193" s="15" t="s">
        <v>4</v>
      </c>
      <c r="B193" s="31" t="s">
        <v>66</v>
      </c>
      <c r="C193" s="31" t="s">
        <v>33</v>
      </c>
      <c r="D193" s="97"/>
      <c r="E193" s="97"/>
      <c r="F193" s="143">
        <f>F194</f>
        <v>13737</v>
      </c>
      <c r="G193" s="143">
        <f t="shared" ref="G193:H193" si="88">G194</f>
        <v>13504.9</v>
      </c>
      <c r="H193" s="143">
        <f t="shared" si="88"/>
        <v>232.09999999999965</v>
      </c>
      <c r="I193" s="190">
        <f t="shared" si="65"/>
        <v>98.310402562422652</v>
      </c>
    </row>
    <row r="194" spans="1:9" ht="25.5">
      <c r="A194" s="15" t="s">
        <v>76</v>
      </c>
      <c r="B194" s="31" t="s">
        <v>66</v>
      </c>
      <c r="C194" s="31" t="s">
        <v>71</v>
      </c>
      <c r="D194" s="97"/>
      <c r="E194" s="97"/>
      <c r="F194" s="143">
        <f>F196+F201+F210</f>
        <v>13737</v>
      </c>
      <c r="G194" s="143">
        <f t="shared" ref="G194:H194" si="89">G196+G201+G210</f>
        <v>13504.9</v>
      </c>
      <c r="H194" s="143">
        <f t="shared" si="89"/>
        <v>232.09999999999965</v>
      </c>
      <c r="I194" s="190">
        <f t="shared" si="65"/>
        <v>98.310402562422652</v>
      </c>
    </row>
    <row r="195" spans="1:9">
      <c r="A195" s="16" t="s">
        <v>430</v>
      </c>
      <c r="B195" s="38" t="s">
        <v>66</v>
      </c>
      <c r="C195" s="38" t="s">
        <v>71</v>
      </c>
      <c r="D195" s="102" t="s">
        <v>431</v>
      </c>
      <c r="E195" s="97"/>
      <c r="F195" s="59">
        <f>F196</f>
        <v>350</v>
      </c>
      <c r="G195" s="59">
        <f t="shared" ref="G195:H199" si="90">G196</f>
        <v>343.9</v>
      </c>
      <c r="H195" s="59">
        <f t="shared" si="90"/>
        <v>6.1000000000000227</v>
      </c>
      <c r="I195" s="190">
        <f t="shared" si="65"/>
        <v>98.257142857142853</v>
      </c>
    </row>
    <row r="196" spans="1:9" ht="38.25">
      <c r="A196" s="16" t="str">
        <f>'пр.4 вед.стр.'!A108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v>
      </c>
      <c r="B196" s="38" t="s">
        <v>66</v>
      </c>
      <c r="C196" s="38" t="s">
        <v>71</v>
      </c>
      <c r="D196" s="102" t="str">
        <f>'пр.4 вед.стр.'!E108</f>
        <v xml:space="preserve">7Ч 0 00 00000 </v>
      </c>
      <c r="E196" s="98"/>
      <c r="F196" s="59">
        <f>F197</f>
        <v>350</v>
      </c>
      <c r="G196" s="59">
        <f t="shared" si="90"/>
        <v>343.9</v>
      </c>
      <c r="H196" s="59">
        <f t="shared" si="90"/>
        <v>6.1000000000000227</v>
      </c>
      <c r="I196" s="190">
        <f t="shared" si="65"/>
        <v>98.257142857142853</v>
      </c>
    </row>
    <row r="197" spans="1:9" ht="38.25">
      <c r="A197" s="16" t="str">
        <f>'пр.4 вед.стр.'!A109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97" s="20" t="s">
        <v>66</v>
      </c>
      <c r="C197" s="20" t="s">
        <v>71</v>
      </c>
      <c r="D197" s="102" t="str">
        <f>'пр.4 вед.стр.'!E109</f>
        <v xml:space="preserve">7Ч 0 01 00000 </v>
      </c>
      <c r="E197" s="98"/>
      <c r="F197" s="59">
        <f>F198</f>
        <v>350</v>
      </c>
      <c r="G197" s="59">
        <f t="shared" si="90"/>
        <v>343.9</v>
      </c>
      <c r="H197" s="59">
        <f t="shared" si="90"/>
        <v>6.1000000000000227</v>
      </c>
      <c r="I197" s="190">
        <f t="shared" si="65"/>
        <v>98.257142857142853</v>
      </c>
    </row>
    <row r="198" spans="1:9" ht="25.5">
      <c r="A198" s="16" t="str">
        <f>'пр.4 вед.стр.'!A110</f>
        <v xml:space="preserve">Приобретение технических средств и создание материального резерва в целях ликвидации чрезвычайных ситуаций </v>
      </c>
      <c r="B198" s="38" t="s">
        <v>66</v>
      </c>
      <c r="C198" s="38" t="s">
        <v>71</v>
      </c>
      <c r="D198" s="102" t="str">
        <f>'пр.4 вед.стр.'!E110</f>
        <v xml:space="preserve">7Ч 0 01 96400 </v>
      </c>
      <c r="E198" s="98"/>
      <c r="F198" s="59">
        <f>F199</f>
        <v>350</v>
      </c>
      <c r="G198" s="59">
        <f t="shared" si="90"/>
        <v>343.9</v>
      </c>
      <c r="H198" s="59">
        <f t="shared" si="90"/>
        <v>6.1000000000000227</v>
      </c>
      <c r="I198" s="190">
        <f t="shared" si="65"/>
        <v>98.257142857142853</v>
      </c>
    </row>
    <row r="199" spans="1:9" ht="25.5">
      <c r="A199" s="16" t="str">
        <f>'пр.4 вед.стр.'!A111</f>
        <v>Закупка товаров, работ и услуг для обеспечения государственных (муниципальных) нужд</v>
      </c>
      <c r="B199" s="38" t="s">
        <v>66</v>
      </c>
      <c r="C199" s="38" t="s">
        <v>71</v>
      </c>
      <c r="D199" s="102" t="str">
        <f>'пр.4 вед.стр.'!E111</f>
        <v xml:space="preserve">7Ч 0 01 96400 </v>
      </c>
      <c r="E199" s="98" t="str">
        <f>'пр.4 вед.стр.'!F111</f>
        <v>200</v>
      </c>
      <c r="F199" s="59">
        <f>F200</f>
        <v>350</v>
      </c>
      <c r="G199" s="59">
        <f t="shared" si="90"/>
        <v>343.9</v>
      </c>
      <c r="H199" s="59">
        <f t="shared" si="90"/>
        <v>6.1000000000000227</v>
      </c>
      <c r="I199" s="190">
        <f t="shared" si="65"/>
        <v>98.257142857142853</v>
      </c>
    </row>
    <row r="200" spans="1:9" ht="25.5">
      <c r="A200" s="16" t="s">
        <v>556</v>
      </c>
      <c r="B200" s="38" t="s">
        <v>66</v>
      </c>
      <c r="C200" s="38" t="s">
        <v>71</v>
      </c>
      <c r="D200" s="102" t="str">
        <f>'пр.4 вед.стр.'!E112</f>
        <v xml:space="preserve">7Ч 0 01 96400 </v>
      </c>
      <c r="E200" s="98" t="str">
        <f>'пр.4 вед.стр.'!F112</f>
        <v>240</v>
      </c>
      <c r="F200" s="59">
        <f>'пр.4 вед.стр.'!G112</f>
        <v>350</v>
      </c>
      <c r="G200" s="59">
        <f>'пр.4 вед.стр.'!H112</f>
        <v>343.9</v>
      </c>
      <c r="H200" s="59">
        <f>'пр.4 вед.стр.'!I112</f>
        <v>6.1000000000000227</v>
      </c>
      <c r="I200" s="190">
        <f t="shared" si="65"/>
        <v>98.257142857142853</v>
      </c>
    </row>
    <row r="201" spans="1:9" ht="25.5">
      <c r="A201" s="16" t="s">
        <v>286</v>
      </c>
      <c r="B201" s="20" t="s">
        <v>66</v>
      </c>
      <c r="C201" s="20" t="s">
        <v>71</v>
      </c>
      <c r="D201" s="102" t="s">
        <v>433</v>
      </c>
      <c r="E201" s="97"/>
      <c r="F201" s="59">
        <f>F202+F207</f>
        <v>8924.4</v>
      </c>
      <c r="G201" s="59">
        <f t="shared" ref="G201:H201" si="91">G202+G207</f>
        <v>8698.4</v>
      </c>
      <c r="H201" s="59">
        <f t="shared" si="91"/>
        <v>225.99999999999963</v>
      </c>
      <c r="I201" s="190">
        <f t="shared" si="65"/>
        <v>97.467616870601944</v>
      </c>
    </row>
    <row r="202" spans="1:9" ht="25.5">
      <c r="A202" s="16" t="s">
        <v>265</v>
      </c>
      <c r="B202" s="20" t="s">
        <v>66</v>
      </c>
      <c r="C202" s="20" t="s">
        <v>71</v>
      </c>
      <c r="D202" s="102" t="s">
        <v>434</v>
      </c>
      <c r="E202" s="97"/>
      <c r="F202" s="59">
        <f>F203+F205</f>
        <v>8794.4</v>
      </c>
      <c r="G202" s="59">
        <f t="shared" ref="G202:H202" si="92">G203+G205</f>
        <v>8572.5</v>
      </c>
      <c r="H202" s="59">
        <f t="shared" si="92"/>
        <v>221.89999999999964</v>
      </c>
      <c r="I202" s="190">
        <f t="shared" ref="I202:I265" si="93">G202/F202*100</f>
        <v>97.476803420358422</v>
      </c>
    </row>
    <row r="203" spans="1:9" ht="51">
      <c r="A203" s="16" t="s">
        <v>90</v>
      </c>
      <c r="B203" s="20" t="s">
        <v>66</v>
      </c>
      <c r="C203" s="20" t="s">
        <v>71</v>
      </c>
      <c r="D203" s="102" t="s">
        <v>434</v>
      </c>
      <c r="E203" s="97" t="s">
        <v>91</v>
      </c>
      <c r="F203" s="59">
        <f>F204</f>
        <v>8547.4</v>
      </c>
      <c r="G203" s="59">
        <f t="shared" ref="G203:H203" si="94">G204</f>
        <v>8368.5</v>
      </c>
      <c r="H203" s="59">
        <f t="shared" si="94"/>
        <v>178.89999999999964</v>
      </c>
      <c r="I203" s="190">
        <f t="shared" si="93"/>
        <v>97.906965860963567</v>
      </c>
    </row>
    <row r="204" spans="1:9">
      <c r="A204" s="16" t="s">
        <v>206</v>
      </c>
      <c r="B204" s="20" t="s">
        <v>66</v>
      </c>
      <c r="C204" s="20" t="s">
        <v>71</v>
      </c>
      <c r="D204" s="102" t="s">
        <v>434</v>
      </c>
      <c r="E204" s="97" t="s">
        <v>207</v>
      </c>
      <c r="F204" s="59">
        <f>'пр.4 вед.стр.'!G116</f>
        <v>8547.4</v>
      </c>
      <c r="G204" s="59">
        <f>'пр.4 вед.стр.'!H116</f>
        <v>8368.5</v>
      </c>
      <c r="H204" s="59">
        <f>'пр.4 вед.стр.'!I116</f>
        <v>178.89999999999964</v>
      </c>
      <c r="I204" s="190">
        <f t="shared" si="93"/>
        <v>97.906965860963567</v>
      </c>
    </row>
    <row r="205" spans="1:9" ht="25.5">
      <c r="A205" s="16" t="s">
        <v>331</v>
      </c>
      <c r="B205" s="20" t="s">
        <v>66</v>
      </c>
      <c r="C205" s="20" t="s">
        <v>71</v>
      </c>
      <c r="D205" s="102" t="s">
        <v>434</v>
      </c>
      <c r="E205" s="97" t="s">
        <v>92</v>
      </c>
      <c r="F205" s="59">
        <f>F206</f>
        <v>247</v>
      </c>
      <c r="G205" s="59">
        <f t="shared" ref="G205:H205" si="95">G206</f>
        <v>204</v>
      </c>
      <c r="H205" s="59">
        <f t="shared" si="95"/>
        <v>43</v>
      </c>
      <c r="I205" s="190">
        <f t="shared" si="93"/>
        <v>82.591093117408903</v>
      </c>
    </row>
    <row r="206" spans="1:9" ht="25.5">
      <c r="A206" s="16" t="s">
        <v>556</v>
      </c>
      <c r="B206" s="20" t="s">
        <v>66</v>
      </c>
      <c r="C206" s="20" t="s">
        <v>71</v>
      </c>
      <c r="D206" s="102" t="s">
        <v>434</v>
      </c>
      <c r="E206" s="97" t="s">
        <v>89</v>
      </c>
      <c r="F206" s="59">
        <f>'пр.4 вед.стр.'!G118</f>
        <v>247</v>
      </c>
      <c r="G206" s="59">
        <f>'пр.4 вед.стр.'!H118</f>
        <v>204</v>
      </c>
      <c r="H206" s="59">
        <f>'пр.4 вед.стр.'!I118</f>
        <v>43</v>
      </c>
      <c r="I206" s="190">
        <f t="shared" si="93"/>
        <v>82.591093117408903</v>
      </c>
    </row>
    <row r="207" spans="1:9" ht="51">
      <c r="A207" s="16" t="s">
        <v>285</v>
      </c>
      <c r="B207" s="20" t="s">
        <v>66</v>
      </c>
      <c r="C207" s="20" t="s">
        <v>71</v>
      </c>
      <c r="D207" s="102" t="s">
        <v>435</v>
      </c>
      <c r="E207" s="97"/>
      <c r="F207" s="59">
        <f>F208</f>
        <v>130</v>
      </c>
      <c r="G207" s="59">
        <f t="shared" ref="G207:H208" si="96">G208</f>
        <v>125.9</v>
      </c>
      <c r="H207" s="59">
        <f t="shared" si="96"/>
        <v>4.0999999999999943</v>
      </c>
      <c r="I207" s="190">
        <f t="shared" si="93"/>
        <v>96.846153846153854</v>
      </c>
    </row>
    <row r="208" spans="1:9" ht="51">
      <c r="A208" s="16" t="s">
        <v>90</v>
      </c>
      <c r="B208" s="20" t="s">
        <v>66</v>
      </c>
      <c r="C208" s="20" t="s">
        <v>71</v>
      </c>
      <c r="D208" s="102" t="s">
        <v>435</v>
      </c>
      <c r="E208" s="97" t="s">
        <v>91</v>
      </c>
      <c r="F208" s="59">
        <f>F209</f>
        <v>130</v>
      </c>
      <c r="G208" s="59">
        <f t="shared" si="96"/>
        <v>125.9</v>
      </c>
      <c r="H208" s="59">
        <f t="shared" si="96"/>
        <v>4.0999999999999943</v>
      </c>
      <c r="I208" s="190">
        <f t="shared" si="93"/>
        <v>96.846153846153854</v>
      </c>
    </row>
    <row r="209" spans="1:9">
      <c r="A209" s="16" t="s">
        <v>206</v>
      </c>
      <c r="B209" s="20" t="s">
        <v>66</v>
      </c>
      <c r="C209" s="20" t="s">
        <v>71</v>
      </c>
      <c r="D209" s="102" t="s">
        <v>435</v>
      </c>
      <c r="E209" s="97" t="s">
        <v>207</v>
      </c>
      <c r="F209" s="59">
        <f>'пр.4 вед.стр.'!G121</f>
        <v>130</v>
      </c>
      <c r="G209" s="59">
        <f>'пр.4 вед.стр.'!H121</f>
        <v>125.9</v>
      </c>
      <c r="H209" s="59">
        <f>'пр.4 вед.стр.'!I121</f>
        <v>4.0999999999999943</v>
      </c>
      <c r="I209" s="190">
        <f t="shared" si="93"/>
        <v>96.846153846153854</v>
      </c>
    </row>
    <row r="210" spans="1:9" ht="25.9" customHeight="1">
      <c r="A210" s="16" t="str">
        <f>'пр.4 вед.стр.'!A122</f>
        <v>Мероприятия в области предупреждения и ликвидации последствий чрезвычайных ситуаций и области гражданской обороны.</v>
      </c>
      <c r="B210" s="20" t="s">
        <v>66</v>
      </c>
      <c r="C210" s="20" t="s">
        <v>71</v>
      </c>
      <c r="D210" s="102" t="str">
        <f>'пр.4 вед.стр.'!E122</f>
        <v>Ч2 0 00 00000</v>
      </c>
      <c r="E210" s="97"/>
      <c r="F210" s="59">
        <f>F211+F214</f>
        <v>4462.6000000000004</v>
      </c>
      <c r="G210" s="59">
        <f t="shared" ref="G210:H210" si="97">G211+G214</f>
        <v>4462.6000000000004</v>
      </c>
      <c r="H210" s="59">
        <f t="shared" si="97"/>
        <v>0</v>
      </c>
      <c r="I210" s="190">
        <f t="shared" si="93"/>
        <v>100</v>
      </c>
    </row>
    <row r="211" spans="1:9" ht="51">
      <c r="A211" s="16" t="str">
        <f>'пр.4 вед.стр.'!A123</f>
        <v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v>
      </c>
      <c r="B211" s="20" t="s">
        <v>66</v>
      </c>
      <c r="C211" s="20" t="s">
        <v>71</v>
      </c>
      <c r="D211" s="102" t="str">
        <f>'пр.4 вед.стр.'!E123</f>
        <v>Ч2 0 00 08200</v>
      </c>
      <c r="E211" s="97"/>
      <c r="F211" s="59">
        <f>F212</f>
        <v>4399</v>
      </c>
      <c r="G211" s="59">
        <f t="shared" ref="G211:H212" si="98">G212</f>
        <v>4399</v>
      </c>
      <c r="H211" s="59">
        <f t="shared" si="98"/>
        <v>0</v>
      </c>
      <c r="I211" s="190">
        <f t="shared" si="93"/>
        <v>100</v>
      </c>
    </row>
    <row r="212" spans="1:9" ht="25.5">
      <c r="A212" s="16" t="str">
        <f>'пр.4 вед.стр.'!A124</f>
        <v>Закупка товаров, работ и услуг для обеспечения государственных (муниципальных) нужд</v>
      </c>
      <c r="B212" s="20" t="s">
        <v>66</v>
      </c>
      <c r="C212" s="20" t="s">
        <v>71</v>
      </c>
      <c r="D212" s="102" t="str">
        <f>'пр.4 вед.стр.'!E124</f>
        <v>Ч2 0 00 08200</v>
      </c>
      <c r="E212" s="97" t="s">
        <v>92</v>
      </c>
      <c r="F212" s="59">
        <f>F213</f>
        <v>4399</v>
      </c>
      <c r="G212" s="59">
        <f t="shared" si="98"/>
        <v>4399</v>
      </c>
      <c r="H212" s="59">
        <f t="shared" si="98"/>
        <v>0</v>
      </c>
      <c r="I212" s="190">
        <f t="shared" si="93"/>
        <v>100</v>
      </c>
    </row>
    <row r="213" spans="1:9" ht="25.5">
      <c r="A213" s="16" t="s">
        <v>556</v>
      </c>
      <c r="B213" s="20" t="s">
        <v>66</v>
      </c>
      <c r="C213" s="20" t="s">
        <v>71</v>
      </c>
      <c r="D213" s="102" t="str">
        <f>'пр.4 вед.стр.'!E125</f>
        <v>Ч2 0 00 08200</v>
      </c>
      <c r="E213" s="97" t="s">
        <v>89</v>
      </c>
      <c r="F213" s="59">
        <f>'пр.4 вед.стр.'!G125</f>
        <v>4399</v>
      </c>
      <c r="G213" s="59">
        <f>'пр.4 вед.стр.'!H125</f>
        <v>4399</v>
      </c>
      <c r="H213" s="59">
        <f>'пр.4 вед.стр.'!I125</f>
        <v>0</v>
      </c>
      <c r="I213" s="190">
        <f t="shared" si="93"/>
        <v>100</v>
      </c>
    </row>
    <row r="214" spans="1:9" ht="38.25">
      <c r="A214" s="16" t="str">
        <f>'пр.4 вед.стр.'!A126</f>
        <v>Предупреждение и ликвидация последствий чрезвычайной ситуации на территории Сусуманского городского округа за счет средств местного бюджета</v>
      </c>
      <c r="B214" s="20" t="s">
        <v>66</v>
      </c>
      <c r="C214" s="20" t="s">
        <v>71</v>
      </c>
      <c r="D214" s="102" t="str">
        <f>'пр.4 вед.стр.'!E126</f>
        <v>Ч2 0 00 08300</v>
      </c>
      <c r="E214" s="97"/>
      <c r="F214" s="59">
        <f>F215</f>
        <v>63.6</v>
      </c>
      <c r="G214" s="59">
        <f t="shared" ref="G214:H215" si="99">G215</f>
        <v>63.6</v>
      </c>
      <c r="H214" s="59">
        <f t="shared" si="99"/>
        <v>0</v>
      </c>
      <c r="I214" s="190">
        <f t="shared" si="93"/>
        <v>100</v>
      </c>
    </row>
    <row r="215" spans="1:9" ht="25.5">
      <c r="A215" s="16" t="str">
        <f>'пр.4 вед.стр.'!A127</f>
        <v>Закупка товаров, работ и услуг для обеспечения государственных (муниципальных) нужд</v>
      </c>
      <c r="B215" s="20" t="s">
        <v>66</v>
      </c>
      <c r="C215" s="20" t="s">
        <v>71</v>
      </c>
      <c r="D215" s="102" t="str">
        <f>'пр.4 вед.стр.'!E127</f>
        <v>Ч2 0 00 08300</v>
      </c>
      <c r="E215" s="97" t="s">
        <v>92</v>
      </c>
      <c r="F215" s="59">
        <f>F216</f>
        <v>63.6</v>
      </c>
      <c r="G215" s="59">
        <f t="shared" si="99"/>
        <v>63.6</v>
      </c>
      <c r="H215" s="59">
        <f t="shared" si="99"/>
        <v>0</v>
      </c>
      <c r="I215" s="190">
        <f t="shared" si="93"/>
        <v>100</v>
      </c>
    </row>
    <row r="216" spans="1:9" ht="25.5">
      <c r="A216" s="16" t="s">
        <v>556</v>
      </c>
      <c r="B216" s="20" t="s">
        <v>66</v>
      </c>
      <c r="C216" s="20" t="s">
        <v>71</v>
      </c>
      <c r="D216" s="102" t="str">
        <f>'пр.4 вед.стр.'!E128</f>
        <v>Ч2 0 00 08300</v>
      </c>
      <c r="E216" s="97" t="s">
        <v>89</v>
      </c>
      <c r="F216" s="59">
        <f>'пр.4 вед.стр.'!G128</f>
        <v>63.6</v>
      </c>
      <c r="G216" s="59">
        <f>'пр.4 вед.стр.'!H128</f>
        <v>63.6</v>
      </c>
      <c r="H216" s="59">
        <f>'пр.4 вед.стр.'!I128</f>
        <v>0</v>
      </c>
      <c r="I216" s="190">
        <f t="shared" si="93"/>
        <v>100</v>
      </c>
    </row>
    <row r="217" spans="1:9">
      <c r="A217" s="15" t="s">
        <v>5</v>
      </c>
      <c r="B217" s="35" t="s">
        <v>64</v>
      </c>
      <c r="C217" s="35" t="s">
        <v>33</v>
      </c>
      <c r="D217" s="100"/>
      <c r="E217" s="100"/>
      <c r="F217" s="143">
        <f>F218+F229+F248</f>
        <v>9506.3000000000011</v>
      </c>
      <c r="G217" s="143">
        <f t="shared" ref="G217:H217" si="100">G218+G229+G248</f>
        <v>7463.1</v>
      </c>
      <c r="H217" s="143">
        <f t="shared" si="100"/>
        <v>2043.2000000000003</v>
      </c>
      <c r="I217" s="190">
        <f t="shared" si="93"/>
        <v>78.506884907903171</v>
      </c>
    </row>
    <row r="218" spans="1:9">
      <c r="A218" s="15" t="s">
        <v>319</v>
      </c>
      <c r="B218" s="35" t="s">
        <v>64</v>
      </c>
      <c r="C218" s="35" t="s">
        <v>72</v>
      </c>
      <c r="D218" s="100"/>
      <c r="E218" s="100"/>
      <c r="F218" s="143">
        <f>F225+F219</f>
        <v>1419.5</v>
      </c>
      <c r="G218" s="143">
        <f t="shared" ref="G218:H218" si="101">G225+G219</f>
        <v>4.9000000000000004</v>
      </c>
      <c r="H218" s="143">
        <f t="shared" si="101"/>
        <v>1414.6000000000001</v>
      </c>
      <c r="I218" s="190">
        <f t="shared" si="93"/>
        <v>0.34519196900317012</v>
      </c>
    </row>
    <row r="219" spans="1:9">
      <c r="A219" s="16" t="s">
        <v>430</v>
      </c>
      <c r="B219" s="38" t="s">
        <v>64</v>
      </c>
      <c r="C219" s="38" t="s">
        <v>72</v>
      </c>
      <c r="D219" s="102" t="s">
        <v>431</v>
      </c>
      <c r="E219" s="97"/>
      <c r="F219" s="59">
        <f>F220</f>
        <v>1414.4</v>
      </c>
      <c r="G219" s="59">
        <f t="shared" ref="G219:H223" si="102">G220</f>
        <v>0</v>
      </c>
      <c r="H219" s="59">
        <f t="shared" si="102"/>
        <v>1414.4</v>
      </c>
      <c r="I219" s="190">
        <f t="shared" si="93"/>
        <v>0</v>
      </c>
    </row>
    <row r="220" spans="1:9" ht="25.5">
      <c r="A220" s="16" t="str">
        <f>'пр.4 вед.стр.'!A890</f>
        <v>Муниципальная программа "Развитие водохозяйственного комплекса Сусуманского городского округа на 2018-2022 год"</v>
      </c>
      <c r="B220" s="38" t="s">
        <v>64</v>
      </c>
      <c r="C220" s="38" t="s">
        <v>72</v>
      </c>
      <c r="D220" s="102" t="str">
        <f>'пр.4 вед.стр.'!E890</f>
        <v>7А 0 00 00000</v>
      </c>
      <c r="E220" s="98"/>
      <c r="F220" s="59">
        <f>F221</f>
        <v>1414.4</v>
      </c>
      <c r="G220" s="59">
        <f t="shared" si="102"/>
        <v>0</v>
      </c>
      <c r="H220" s="59">
        <f t="shared" si="102"/>
        <v>1414.4</v>
      </c>
      <c r="I220" s="190">
        <f t="shared" si="93"/>
        <v>0</v>
      </c>
    </row>
    <row r="221" spans="1:9" ht="25.5">
      <c r="A221" s="16" t="str">
        <f>'пр.4 вед.стр.'!A891</f>
        <v>Основное мероприятие "Разработка декларации безопасности (включая государственную экспертизу)"</v>
      </c>
      <c r="B221" s="38" t="s">
        <v>64</v>
      </c>
      <c r="C221" s="38" t="s">
        <v>72</v>
      </c>
      <c r="D221" s="97" t="str">
        <f>'пр.4 вед.стр.'!E891</f>
        <v>7А 0 01 00000</v>
      </c>
      <c r="E221" s="100"/>
      <c r="F221" s="59">
        <f>F222</f>
        <v>1414.4</v>
      </c>
      <c r="G221" s="59">
        <f t="shared" si="102"/>
        <v>0</v>
      </c>
      <c r="H221" s="59">
        <f t="shared" si="102"/>
        <v>1414.4</v>
      </c>
      <c r="I221" s="190">
        <f t="shared" si="93"/>
        <v>0</v>
      </c>
    </row>
    <row r="222" spans="1:9" ht="38.25">
      <c r="A222" s="16" t="str">
        <f>'пр.4 вед.стр.'!A892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222" s="38" t="s">
        <v>64</v>
      </c>
      <c r="C222" s="38" t="s">
        <v>72</v>
      </c>
      <c r="D222" s="97" t="str">
        <f>'пр.4 вед.стр.'!E892</f>
        <v>7А 0 01 93340</v>
      </c>
      <c r="E222" s="100"/>
      <c r="F222" s="59">
        <f>F223</f>
        <v>1414.4</v>
      </c>
      <c r="G222" s="59">
        <f t="shared" si="102"/>
        <v>0</v>
      </c>
      <c r="H222" s="59">
        <f t="shared" si="102"/>
        <v>1414.4</v>
      </c>
      <c r="I222" s="190">
        <f t="shared" si="93"/>
        <v>0</v>
      </c>
    </row>
    <row r="223" spans="1:9" ht="25.5">
      <c r="A223" s="16" t="str">
        <f>'пр.4 вед.стр.'!A893</f>
        <v>Закупка товаров, работ и услуг для обеспечения государственных (муниципальных) нужд</v>
      </c>
      <c r="B223" s="38" t="s">
        <v>64</v>
      </c>
      <c r="C223" s="38" t="s">
        <v>72</v>
      </c>
      <c r="D223" s="97" t="str">
        <f>'пр.4 вед.стр.'!E893</f>
        <v>7А 0 01 93340</v>
      </c>
      <c r="E223" s="97" t="str">
        <f>'пр.4 вед.стр.'!F897</f>
        <v>200</v>
      </c>
      <c r="F223" s="59">
        <f>F224</f>
        <v>1414.4</v>
      </c>
      <c r="G223" s="59">
        <f t="shared" si="102"/>
        <v>0</v>
      </c>
      <c r="H223" s="59">
        <f t="shared" si="102"/>
        <v>1414.4</v>
      </c>
      <c r="I223" s="190">
        <f t="shared" si="93"/>
        <v>0</v>
      </c>
    </row>
    <row r="224" spans="1:9" ht="25.5">
      <c r="A224" s="16" t="s">
        <v>556</v>
      </c>
      <c r="B224" s="38" t="s">
        <v>64</v>
      </c>
      <c r="C224" s="38" t="s">
        <v>72</v>
      </c>
      <c r="D224" s="97" t="str">
        <f>'пр.4 вед.стр.'!E894</f>
        <v>7А 0 01 93340</v>
      </c>
      <c r="E224" s="97" t="str">
        <f>'пр.4 вед.стр.'!F898</f>
        <v>240</v>
      </c>
      <c r="F224" s="59">
        <f>'пр.4 вед.стр.'!G894</f>
        <v>1414.4</v>
      </c>
      <c r="G224" s="59">
        <f>'пр.4 вед.стр.'!H894</f>
        <v>0</v>
      </c>
      <c r="H224" s="59">
        <f>'пр.4 вед.стр.'!I894</f>
        <v>1414.4</v>
      </c>
      <c r="I224" s="190">
        <f t="shared" si="93"/>
        <v>0</v>
      </c>
    </row>
    <row r="225" spans="1:9">
      <c r="A225" s="16" t="s">
        <v>501</v>
      </c>
      <c r="B225" s="20" t="s">
        <v>64</v>
      </c>
      <c r="C225" s="20" t="s">
        <v>72</v>
      </c>
      <c r="D225" s="97" t="s">
        <v>502</v>
      </c>
      <c r="E225" s="97"/>
      <c r="F225" s="59">
        <f>F226</f>
        <v>5.0999999999999996</v>
      </c>
      <c r="G225" s="59">
        <f t="shared" ref="G225:H227" si="103">G226</f>
        <v>4.9000000000000004</v>
      </c>
      <c r="H225" s="59">
        <f t="shared" si="103"/>
        <v>0.19999999999999929</v>
      </c>
      <c r="I225" s="190">
        <f t="shared" si="93"/>
        <v>96.078431372549034</v>
      </c>
    </row>
    <row r="226" spans="1:9">
      <c r="A226" s="16" t="s">
        <v>503</v>
      </c>
      <c r="B226" s="20" t="s">
        <v>64</v>
      </c>
      <c r="C226" s="20" t="s">
        <v>72</v>
      </c>
      <c r="D226" s="97" t="s">
        <v>504</v>
      </c>
      <c r="E226" s="97"/>
      <c r="F226" s="59">
        <f>F227</f>
        <v>5.0999999999999996</v>
      </c>
      <c r="G226" s="59">
        <f t="shared" si="103"/>
        <v>4.9000000000000004</v>
      </c>
      <c r="H226" s="59">
        <f t="shared" si="103"/>
        <v>0.19999999999999929</v>
      </c>
      <c r="I226" s="190">
        <f t="shared" si="93"/>
        <v>96.078431372549034</v>
      </c>
    </row>
    <row r="227" spans="1:9" ht="25.5">
      <c r="A227" s="16" t="s">
        <v>331</v>
      </c>
      <c r="B227" s="20" t="s">
        <v>64</v>
      </c>
      <c r="C227" s="20" t="s">
        <v>72</v>
      </c>
      <c r="D227" s="97" t="s">
        <v>504</v>
      </c>
      <c r="E227" s="97" t="s">
        <v>92</v>
      </c>
      <c r="F227" s="59">
        <f>F228</f>
        <v>5.0999999999999996</v>
      </c>
      <c r="G227" s="59">
        <f t="shared" si="103"/>
        <v>4.9000000000000004</v>
      </c>
      <c r="H227" s="59">
        <f t="shared" si="103"/>
        <v>0.19999999999999929</v>
      </c>
      <c r="I227" s="190">
        <f t="shared" si="93"/>
        <v>96.078431372549034</v>
      </c>
    </row>
    <row r="228" spans="1:9" ht="25.5">
      <c r="A228" s="16" t="s">
        <v>556</v>
      </c>
      <c r="B228" s="20" t="s">
        <v>64</v>
      </c>
      <c r="C228" s="20" t="s">
        <v>72</v>
      </c>
      <c r="D228" s="97" t="s">
        <v>504</v>
      </c>
      <c r="E228" s="97" t="s">
        <v>89</v>
      </c>
      <c r="F228" s="59">
        <f>'пр.4 вед.стр.'!G898</f>
        <v>5.0999999999999996</v>
      </c>
      <c r="G228" s="59">
        <f>'пр.4 вед.стр.'!H898</f>
        <v>4.9000000000000004</v>
      </c>
      <c r="H228" s="59">
        <f>'пр.4 вед.стр.'!I898</f>
        <v>0.19999999999999929</v>
      </c>
      <c r="I228" s="190">
        <f t="shared" si="93"/>
        <v>96.078431372549034</v>
      </c>
    </row>
    <row r="229" spans="1:9">
      <c r="A229" s="15" t="s">
        <v>78</v>
      </c>
      <c r="B229" s="35" t="s">
        <v>64</v>
      </c>
      <c r="C229" s="35" t="s">
        <v>71</v>
      </c>
      <c r="D229" s="100"/>
      <c r="E229" s="100"/>
      <c r="F229" s="143">
        <f>F231+F239+F244</f>
        <v>7613.2000000000007</v>
      </c>
      <c r="G229" s="143">
        <f t="shared" ref="G229:H229" si="104">G231+G239+G244</f>
        <v>7028.7000000000007</v>
      </c>
      <c r="H229" s="143">
        <f t="shared" si="104"/>
        <v>584.50000000000011</v>
      </c>
      <c r="I229" s="190">
        <f t="shared" si="93"/>
        <v>92.322545053328426</v>
      </c>
    </row>
    <row r="230" spans="1:9">
      <c r="A230" s="16" t="s">
        <v>430</v>
      </c>
      <c r="B230" s="20" t="s">
        <v>64</v>
      </c>
      <c r="C230" s="20" t="s">
        <v>71</v>
      </c>
      <c r="D230" s="102" t="s">
        <v>500</v>
      </c>
      <c r="E230" s="97"/>
      <c r="F230" s="59">
        <f>F231+F239</f>
        <v>6141.8</v>
      </c>
      <c r="G230" s="59">
        <f t="shared" ref="G230:H230" si="105">G231+G239</f>
        <v>6138.7000000000007</v>
      </c>
      <c r="H230" s="59">
        <f t="shared" si="105"/>
        <v>3.1000000000000227</v>
      </c>
      <c r="I230" s="190">
        <f t="shared" si="93"/>
        <v>99.949526197531682</v>
      </c>
    </row>
    <row r="231" spans="1:9" ht="38.25">
      <c r="A231" s="150" t="str">
        <f>'пр.4 вед.стр.'!A901</f>
        <v>Муниципальная программа "Повышение безопасности дорожного движения на территории Сусуманского городского округа на 2018- 2022 годы"</v>
      </c>
      <c r="B231" s="20" t="s">
        <v>64</v>
      </c>
      <c r="C231" s="20" t="s">
        <v>71</v>
      </c>
      <c r="D231" s="102" t="str">
        <f>'пр.4 вед.стр.'!E901</f>
        <v>7D 0 00 00000</v>
      </c>
      <c r="E231" s="97"/>
      <c r="F231" s="59">
        <f>F232</f>
        <v>1825.2</v>
      </c>
      <c r="G231" s="59">
        <f t="shared" ref="G231:H231" si="106">G232</f>
        <v>1822.1</v>
      </c>
      <c r="H231" s="59">
        <f t="shared" si="106"/>
        <v>3.1000000000000227</v>
      </c>
      <c r="I231" s="190">
        <f t="shared" si="93"/>
        <v>99.830155599386359</v>
      </c>
    </row>
    <row r="232" spans="1:9">
      <c r="A232" s="28" t="str">
        <f>'пр.4 вед.стр.'!A902</f>
        <v>Основное мероприятие "Обеспечение реализации программы"</v>
      </c>
      <c r="B232" s="20" t="s">
        <v>64</v>
      </c>
      <c r="C232" s="20" t="s">
        <v>71</v>
      </c>
      <c r="D232" s="102" t="str">
        <f>'пр.4 вед.стр.'!E902</f>
        <v>7D 0 01 00000</v>
      </c>
      <c r="E232" s="97"/>
      <c r="F232" s="59">
        <f>F236+F233</f>
        <v>1825.2</v>
      </c>
      <c r="G232" s="59">
        <f t="shared" ref="G232:H232" si="107">G236+G233</f>
        <v>1822.1</v>
      </c>
      <c r="H232" s="59">
        <f t="shared" si="107"/>
        <v>3.1000000000000227</v>
      </c>
      <c r="I232" s="190">
        <f t="shared" si="93"/>
        <v>99.830155599386359</v>
      </c>
    </row>
    <row r="233" spans="1:9">
      <c r="A233" s="28" t="str">
        <f>'пр.4 вед.стр.'!A903</f>
        <v>Приобретение пешеходных ограждений</v>
      </c>
      <c r="B233" s="20" t="s">
        <v>64</v>
      </c>
      <c r="C233" s="20" t="s">
        <v>71</v>
      </c>
      <c r="D233" s="102" t="str">
        <f>'пр.4 вед.стр.'!E903</f>
        <v>7D 0 01 95420</v>
      </c>
      <c r="E233" s="97"/>
      <c r="F233" s="59">
        <f>F234</f>
        <v>1200</v>
      </c>
      <c r="G233" s="59">
        <f t="shared" ref="G233:H234" si="108">G234</f>
        <v>1200</v>
      </c>
      <c r="H233" s="59">
        <f t="shared" si="108"/>
        <v>0</v>
      </c>
      <c r="I233" s="190">
        <f t="shared" si="93"/>
        <v>100</v>
      </c>
    </row>
    <row r="234" spans="1:9" ht="25.5">
      <c r="A234" s="28" t="str">
        <f>'пр.4 вед.стр.'!A904</f>
        <v>Закупка товаров, работ и услуг для обеспечения государственных (муниципальных) нужд</v>
      </c>
      <c r="B234" s="20" t="s">
        <v>64</v>
      </c>
      <c r="C234" s="20" t="s">
        <v>71</v>
      </c>
      <c r="D234" s="102" t="str">
        <f>'пр.4 вед.стр.'!E904</f>
        <v>7D 0 01 95420</v>
      </c>
      <c r="E234" s="121">
        <f>'пр.4 вед.стр.'!F904</f>
        <v>200</v>
      </c>
      <c r="F234" s="59">
        <f>F235</f>
        <v>1200</v>
      </c>
      <c r="G234" s="59">
        <f t="shared" si="108"/>
        <v>1200</v>
      </c>
      <c r="H234" s="59">
        <f t="shared" si="108"/>
        <v>0</v>
      </c>
      <c r="I234" s="190">
        <f t="shared" si="93"/>
        <v>100</v>
      </c>
    </row>
    <row r="235" spans="1:9" ht="25.5">
      <c r="A235" s="16" t="s">
        <v>556</v>
      </c>
      <c r="B235" s="20" t="s">
        <v>64</v>
      </c>
      <c r="C235" s="20" t="s">
        <v>71</v>
      </c>
      <c r="D235" s="102" t="str">
        <f>'пр.4 вед.стр.'!E905</f>
        <v>7D 0 01 95420</v>
      </c>
      <c r="E235" s="121">
        <f>'пр.4 вед.стр.'!F905</f>
        <v>240</v>
      </c>
      <c r="F235" s="59">
        <f>'пр.4 вед.стр.'!G905</f>
        <v>1200</v>
      </c>
      <c r="G235" s="59">
        <f>'пр.4 вед.стр.'!H905</f>
        <v>1200</v>
      </c>
      <c r="H235" s="59">
        <f>'пр.4 вед.стр.'!I905</f>
        <v>0</v>
      </c>
      <c r="I235" s="190">
        <f t="shared" si="93"/>
        <v>100</v>
      </c>
    </row>
    <row r="236" spans="1:9" ht="51">
      <c r="A236" s="16" t="str">
        <f>'пр.4 вед.стр.'!A906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236" s="20" t="s">
        <v>64</v>
      </c>
      <c r="C236" s="20" t="s">
        <v>71</v>
      </c>
      <c r="D236" s="102" t="str">
        <f>'пр.4 вед.стр.'!E906</f>
        <v>7D 0 01 95450</v>
      </c>
      <c r="E236" s="97"/>
      <c r="F236" s="59">
        <f>F237</f>
        <v>625.20000000000005</v>
      </c>
      <c r="G236" s="59">
        <f t="shared" ref="G236:H237" si="109">G237</f>
        <v>622.1</v>
      </c>
      <c r="H236" s="59">
        <f t="shared" si="109"/>
        <v>3.1000000000000227</v>
      </c>
      <c r="I236" s="190">
        <f t="shared" si="93"/>
        <v>99.504158669225845</v>
      </c>
    </row>
    <row r="237" spans="1:9" ht="25.5">
      <c r="A237" s="16" t="str">
        <f>'пр.4 вед.стр.'!A907</f>
        <v>Закупка товаров, работ и услуг для обеспечения государственных (муниципальных) нужд</v>
      </c>
      <c r="B237" s="20" t="s">
        <v>64</v>
      </c>
      <c r="C237" s="20" t="s">
        <v>71</v>
      </c>
      <c r="D237" s="102" t="str">
        <f>'пр.4 вед.стр.'!E907</f>
        <v>7D 0 01 95450</v>
      </c>
      <c r="E237" s="97" t="str">
        <f>'пр.4 вед.стр.'!F907</f>
        <v>200</v>
      </c>
      <c r="F237" s="59">
        <f>F238</f>
        <v>625.20000000000005</v>
      </c>
      <c r="G237" s="59">
        <f t="shared" si="109"/>
        <v>622.1</v>
      </c>
      <c r="H237" s="59">
        <f t="shared" si="109"/>
        <v>3.1000000000000227</v>
      </c>
      <c r="I237" s="190">
        <f t="shared" si="93"/>
        <v>99.504158669225845</v>
      </c>
    </row>
    <row r="238" spans="1:9" ht="25.5">
      <c r="A238" s="16" t="s">
        <v>556</v>
      </c>
      <c r="B238" s="20" t="s">
        <v>64</v>
      </c>
      <c r="C238" s="20" t="s">
        <v>71</v>
      </c>
      <c r="D238" s="102" t="str">
        <f>'пр.4 вед.стр.'!E908</f>
        <v>7D 0 01 95450</v>
      </c>
      <c r="E238" s="97" t="str">
        <f>'пр.4 вед.стр.'!F908</f>
        <v>240</v>
      </c>
      <c r="F238" s="59">
        <f>'пр.4 вед.стр.'!G908</f>
        <v>625.20000000000005</v>
      </c>
      <c r="G238" s="59">
        <f>'пр.4 вед.стр.'!H908</f>
        <v>622.1</v>
      </c>
      <c r="H238" s="59">
        <f>'пр.4 вед.стр.'!I908</f>
        <v>3.1000000000000227</v>
      </c>
      <c r="I238" s="190">
        <f t="shared" si="93"/>
        <v>99.504158669225845</v>
      </c>
    </row>
    <row r="239" spans="1:9" ht="38.25">
      <c r="A239" s="28" t="str">
        <f>'пр.4 вед.стр.'!A909</f>
        <v>Муниципальная программа "Содержание автомобильных дорог общего пользования местного значения Сусуманского городского округа на 2018- 2022 годы"</v>
      </c>
      <c r="B239" s="20" t="s">
        <v>64</v>
      </c>
      <c r="C239" s="20" t="s">
        <v>71</v>
      </c>
      <c r="D239" s="102" t="str">
        <f>'пр.4 вед.стр.'!E909</f>
        <v xml:space="preserve">7S 0 00 00000 </v>
      </c>
      <c r="E239" s="97"/>
      <c r="F239" s="59">
        <f>F240</f>
        <v>4316.6000000000004</v>
      </c>
      <c r="G239" s="59">
        <f t="shared" ref="G239:H242" si="110">G240</f>
        <v>4316.6000000000004</v>
      </c>
      <c r="H239" s="59">
        <f t="shared" si="110"/>
        <v>0</v>
      </c>
      <c r="I239" s="190">
        <f t="shared" si="93"/>
        <v>100</v>
      </c>
    </row>
    <row r="240" spans="1:9" ht="25.5">
      <c r="A240" s="28" t="str">
        <f>'пр.4 вед.стр.'!A910</f>
        <v>Основное мероприятие "Содержание автомобильных дорог общего пользования местного значения"</v>
      </c>
      <c r="B240" s="20" t="s">
        <v>64</v>
      </c>
      <c r="C240" s="20" t="s">
        <v>71</v>
      </c>
      <c r="D240" s="102" t="str">
        <f>'пр.4 вед.стр.'!E910</f>
        <v xml:space="preserve">7S 0 01 00000 </v>
      </c>
      <c r="E240" s="97"/>
      <c r="F240" s="59">
        <f>F241</f>
        <v>4316.6000000000004</v>
      </c>
      <c r="G240" s="59">
        <f t="shared" si="110"/>
        <v>4316.6000000000004</v>
      </c>
      <c r="H240" s="59">
        <f t="shared" si="110"/>
        <v>0</v>
      </c>
      <c r="I240" s="190">
        <f t="shared" si="93"/>
        <v>100</v>
      </c>
    </row>
    <row r="241" spans="1:9" ht="25.5">
      <c r="A241" s="28" t="str">
        <f>'пр.4 вед.стр.'!A911</f>
        <v>Содержание автомобильных дорог общего пользования местного значения Сусуманского городского округа</v>
      </c>
      <c r="B241" s="20" t="s">
        <v>64</v>
      </c>
      <c r="C241" s="20" t="s">
        <v>71</v>
      </c>
      <c r="D241" s="102" t="str">
        <f>'пр.4 вед.стр.'!E911</f>
        <v xml:space="preserve">7S 0 01 95310 </v>
      </c>
      <c r="E241" s="97"/>
      <c r="F241" s="59">
        <f>F242</f>
        <v>4316.6000000000004</v>
      </c>
      <c r="G241" s="59">
        <f t="shared" si="110"/>
        <v>4316.6000000000004</v>
      </c>
      <c r="H241" s="59">
        <f t="shared" si="110"/>
        <v>0</v>
      </c>
      <c r="I241" s="190">
        <f t="shared" si="93"/>
        <v>100</v>
      </c>
    </row>
    <row r="242" spans="1:9" ht="25.5">
      <c r="A242" s="28" t="str">
        <f>'пр.4 вед.стр.'!A912</f>
        <v>Закупка товаров, работ и услуг для обеспечения государственных (муниципальных) нужд</v>
      </c>
      <c r="B242" s="20" t="s">
        <v>64</v>
      </c>
      <c r="C242" s="20" t="s">
        <v>71</v>
      </c>
      <c r="D242" s="102" t="str">
        <f>'пр.4 вед.стр.'!E912</f>
        <v xml:space="preserve">7S 0 01 95310 </v>
      </c>
      <c r="E242" s="97" t="str">
        <f>'пр.4 вед.стр.'!F912</f>
        <v>200</v>
      </c>
      <c r="F242" s="59">
        <f>F243</f>
        <v>4316.6000000000004</v>
      </c>
      <c r="G242" s="59">
        <f t="shared" si="110"/>
        <v>4316.6000000000004</v>
      </c>
      <c r="H242" s="59">
        <f t="shared" si="110"/>
        <v>0</v>
      </c>
      <c r="I242" s="190">
        <f t="shared" si="93"/>
        <v>100</v>
      </c>
    </row>
    <row r="243" spans="1:9" ht="25.5">
      <c r="A243" s="16" t="s">
        <v>556</v>
      </c>
      <c r="B243" s="20" t="s">
        <v>64</v>
      </c>
      <c r="C243" s="20" t="s">
        <v>71</v>
      </c>
      <c r="D243" s="102" t="str">
        <f>'пр.4 вед.стр.'!E913</f>
        <v xml:space="preserve">7S 0 01 95310 </v>
      </c>
      <c r="E243" s="97" t="str">
        <f>'пр.4 вед.стр.'!F913</f>
        <v>240</v>
      </c>
      <c r="F243" s="59">
        <f>'пр.4 вед.стр.'!G913</f>
        <v>4316.6000000000004</v>
      </c>
      <c r="G243" s="59">
        <f>'пр.4 вед.стр.'!H913</f>
        <v>4316.6000000000004</v>
      </c>
      <c r="H243" s="59">
        <f>'пр.4 вед.стр.'!I913</f>
        <v>0</v>
      </c>
      <c r="I243" s="190">
        <f t="shared" si="93"/>
        <v>100</v>
      </c>
    </row>
    <row r="244" spans="1:9">
      <c r="A244" s="16" t="s">
        <v>266</v>
      </c>
      <c r="B244" s="19" t="s">
        <v>64</v>
      </c>
      <c r="C244" s="19" t="s">
        <v>71</v>
      </c>
      <c r="D244" s="97" t="s">
        <v>505</v>
      </c>
      <c r="E244" s="100"/>
      <c r="F244" s="59">
        <f>F245</f>
        <v>1471.4</v>
      </c>
      <c r="G244" s="59">
        <f t="shared" ref="G244:H246" si="111">G245</f>
        <v>890</v>
      </c>
      <c r="H244" s="59">
        <f t="shared" si="111"/>
        <v>581.40000000000009</v>
      </c>
      <c r="I244" s="190">
        <f t="shared" si="93"/>
        <v>60.486611390512437</v>
      </c>
    </row>
    <row r="245" spans="1:9" ht="25.5">
      <c r="A245" s="16" t="s">
        <v>506</v>
      </c>
      <c r="B245" s="19" t="s">
        <v>64</v>
      </c>
      <c r="C245" s="19" t="s">
        <v>71</v>
      </c>
      <c r="D245" s="97" t="s">
        <v>507</v>
      </c>
      <c r="E245" s="100"/>
      <c r="F245" s="59">
        <f>F246</f>
        <v>1471.4</v>
      </c>
      <c r="G245" s="59">
        <f t="shared" si="111"/>
        <v>890</v>
      </c>
      <c r="H245" s="59">
        <f t="shared" si="111"/>
        <v>581.40000000000009</v>
      </c>
      <c r="I245" s="190">
        <f t="shared" si="93"/>
        <v>60.486611390512437</v>
      </c>
    </row>
    <row r="246" spans="1:9" ht="25.5">
      <c r="A246" s="16" t="s">
        <v>331</v>
      </c>
      <c r="B246" s="19" t="s">
        <v>64</v>
      </c>
      <c r="C246" s="19" t="s">
        <v>71</v>
      </c>
      <c r="D246" s="97" t="s">
        <v>507</v>
      </c>
      <c r="E246" s="97" t="s">
        <v>92</v>
      </c>
      <c r="F246" s="59">
        <f>F247</f>
        <v>1471.4</v>
      </c>
      <c r="G246" s="59">
        <f t="shared" si="111"/>
        <v>890</v>
      </c>
      <c r="H246" s="59">
        <f t="shared" si="111"/>
        <v>581.40000000000009</v>
      </c>
      <c r="I246" s="190">
        <f t="shared" si="93"/>
        <v>60.486611390512437</v>
      </c>
    </row>
    <row r="247" spans="1:9" ht="25.5">
      <c r="A247" s="16" t="s">
        <v>556</v>
      </c>
      <c r="B247" s="19" t="s">
        <v>64</v>
      </c>
      <c r="C247" s="19" t="s">
        <v>71</v>
      </c>
      <c r="D247" s="97" t="s">
        <v>507</v>
      </c>
      <c r="E247" s="97" t="s">
        <v>89</v>
      </c>
      <c r="F247" s="59">
        <f>'пр.4 вед.стр.'!G917</f>
        <v>1471.4</v>
      </c>
      <c r="G247" s="59">
        <f>'пр.4 вед.стр.'!H917</f>
        <v>890</v>
      </c>
      <c r="H247" s="59">
        <f>'пр.4 вед.стр.'!I917</f>
        <v>581.40000000000009</v>
      </c>
      <c r="I247" s="190">
        <f t="shared" si="93"/>
        <v>60.486611390512437</v>
      </c>
    </row>
    <row r="248" spans="1:9">
      <c r="A248" s="15" t="s">
        <v>6</v>
      </c>
      <c r="B248" s="31" t="s">
        <v>64</v>
      </c>
      <c r="C248" s="31" t="s">
        <v>74</v>
      </c>
      <c r="D248" s="103"/>
      <c r="E248" s="100"/>
      <c r="F248" s="143">
        <f>F249</f>
        <v>473.6</v>
      </c>
      <c r="G248" s="143">
        <f t="shared" ref="G248:H248" si="112">G249</f>
        <v>429.5</v>
      </c>
      <c r="H248" s="143">
        <f t="shared" si="112"/>
        <v>44.100000000000023</v>
      </c>
      <c r="I248" s="190">
        <f t="shared" si="93"/>
        <v>90.688344594594597</v>
      </c>
    </row>
    <row r="249" spans="1:9">
      <c r="A249" s="16" t="s">
        <v>430</v>
      </c>
      <c r="B249" s="20" t="s">
        <v>64</v>
      </c>
      <c r="C249" s="20" t="s">
        <v>74</v>
      </c>
      <c r="D249" s="102" t="s">
        <v>431</v>
      </c>
      <c r="E249" s="100"/>
      <c r="F249" s="59">
        <f>F250+F255</f>
        <v>473.6</v>
      </c>
      <c r="G249" s="59">
        <f t="shared" ref="G249:H249" si="113">G250+G255</f>
        <v>429.5</v>
      </c>
      <c r="H249" s="59">
        <f t="shared" si="113"/>
        <v>44.100000000000023</v>
      </c>
      <c r="I249" s="190">
        <f t="shared" si="93"/>
        <v>90.688344594594597</v>
      </c>
    </row>
    <row r="250" spans="1:9" ht="38.25">
      <c r="A250" s="28" t="str">
        <f>'пр.4 вед.стр.'!A132</f>
        <v>Муниципальная программа  "Развитие малого и среднего предпринимательства в Сусуманском городском округе  на 2018- 2022 годы"</v>
      </c>
      <c r="B250" s="20" t="s">
        <v>64</v>
      </c>
      <c r="C250" s="20" t="s">
        <v>74</v>
      </c>
      <c r="D250" s="102" t="str">
        <f>'пр.4 вед.стр.'!E132</f>
        <v xml:space="preserve">7И 0 00 00000 </v>
      </c>
      <c r="E250" s="97"/>
      <c r="F250" s="59">
        <f>F251</f>
        <v>100</v>
      </c>
      <c r="G250" s="59">
        <f t="shared" ref="G250:H253" si="114">G251</f>
        <v>100</v>
      </c>
      <c r="H250" s="59">
        <f t="shared" si="114"/>
        <v>0</v>
      </c>
      <c r="I250" s="190">
        <f t="shared" si="93"/>
        <v>100</v>
      </c>
    </row>
    <row r="251" spans="1:9" ht="25.5">
      <c r="A251" s="28" t="str">
        <f>'пр.4 вед.стр.'!A133</f>
        <v>Основное мероприятие "Обеспечение устойчивого развития малого и среднего предпринимательства, создание новых рабочих мест"</v>
      </c>
      <c r="B251" s="20" t="s">
        <v>64</v>
      </c>
      <c r="C251" s="20" t="s">
        <v>74</v>
      </c>
      <c r="D251" s="102" t="str">
        <f>'пр.4 вед.стр.'!E133</f>
        <v xml:space="preserve">7И 0 01 00000 </v>
      </c>
      <c r="E251" s="97"/>
      <c r="F251" s="59">
        <f>F252</f>
        <v>100</v>
      </c>
      <c r="G251" s="59">
        <f t="shared" si="114"/>
        <v>100</v>
      </c>
      <c r="H251" s="59">
        <f t="shared" si="114"/>
        <v>0</v>
      </c>
      <c r="I251" s="190">
        <f t="shared" si="93"/>
        <v>100</v>
      </c>
    </row>
    <row r="252" spans="1:9" ht="25.5">
      <c r="A252" s="28" t="str">
        <f>'пр.4 вед.стр.'!A134</f>
        <v xml:space="preserve">Финансовая поддержка субъектов малого и среднего предпринимательства </v>
      </c>
      <c r="B252" s="20" t="s">
        <v>64</v>
      </c>
      <c r="C252" s="20" t="s">
        <v>74</v>
      </c>
      <c r="D252" s="102" t="str">
        <f>'пр.4 вед.стр.'!E134</f>
        <v xml:space="preserve">7И 0 01 93360 </v>
      </c>
      <c r="E252" s="97"/>
      <c r="F252" s="59">
        <f>F253</f>
        <v>100</v>
      </c>
      <c r="G252" s="59">
        <f t="shared" si="114"/>
        <v>100</v>
      </c>
      <c r="H252" s="59">
        <f t="shared" si="114"/>
        <v>0</v>
      </c>
      <c r="I252" s="190">
        <f t="shared" si="93"/>
        <v>100</v>
      </c>
    </row>
    <row r="253" spans="1:9">
      <c r="A253" s="28" t="str">
        <f>'пр.4 вед.стр.'!A135</f>
        <v>Иные бюджетные ассигнования</v>
      </c>
      <c r="B253" s="20" t="s">
        <v>64</v>
      </c>
      <c r="C253" s="20" t="s">
        <v>74</v>
      </c>
      <c r="D253" s="102" t="str">
        <f>'пр.4 вед.стр.'!E135</f>
        <v xml:space="preserve">7И 0 01 93360 </v>
      </c>
      <c r="E253" s="97" t="str">
        <f>'пр.4 вед.стр.'!F135</f>
        <v>800</v>
      </c>
      <c r="F253" s="59">
        <f>F254</f>
        <v>100</v>
      </c>
      <c r="G253" s="59">
        <f t="shared" si="114"/>
        <v>100</v>
      </c>
      <c r="H253" s="59">
        <f t="shared" si="114"/>
        <v>0</v>
      </c>
      <c r="I253" s="190">
        <f t="shared" si="93"/>
        <v>100</v>
      </c>
    </row>
    <row r="254" spans="1:9" ht="38.25">
      <c r="A254" s="28" t="str">
        <f>'пр.4 вед.стр.'!A136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54" s="20" t="s">
        <v>64</v>
      </c>
      <c r="C254" s="20" t="s">
        <v>74</v>
      </c>
      <c r="D254" s="102" t="str">
        <f>'пр.4 вед.стр.'!E136</f>
        <v xml:space="preserve">7И 0 01 93360 </v>
      </c>
      <c r="E254" s="97" t="str">
        <f>'пр.4 вед.стр.'!F136</f>
        <v>810</v>
      </c>
      <c r="F254" s="59">
        <f>'пр.4 вед.стр.'!G136</f>
        <v>100</v>
      </c>
      <c r="G254" s="59">
        <f>'пр.4 вед.стр.'!H136</f>
        <v>100</v>
      </c>
      <c r="H254" s="59">
        <f>'пр.4 вед.стр.'!I136</f>
        <v>0</v>
      </c>
      <c r="I254" s="190">
        <f t="shared" si="93"/>
        <v>100</v>
      </c>
    </row>
    <row r="255" spans="1:9" ht="25.5">
      <c r="A255" s="16" t="str">
        <f>'пр.4 вед.стр.'!A137</f>
        <v>Муниципальная программа "Развитие торговли  на территории Сусуманского городского округа на 2018- 2022 годы"</v>
      </c>
      <c r="B255" s="20" t="s">
        <v>64</v>
      </c>
      <c r="C255" s="20" t="s">
        <v>74</v>
      </c>
      <c r="D255" s="102" t="str">
        <f>'пр.4 вед.стр.'!E137</f>
        <v xml:space="preserve">7Н 0 00 00000 </v>
      </c>
      <c r="E255" s="97"/>
      <c r="F255" s="59">
        <f>F256</f>
        <v>373.6</v>
      </c>
      <c r="G255" s="59">
        <f t="shared" ref="G255:H255" si="115">G256</f>
        <v>329.5</v>
      </c>
      <c r="H255" s="59">
        <f t="shared" si="115"/>
        <v>44.100000000000023</v>
      </c>
      <c r="I255" s="190">
        <f t="shared" si="93"/>
        <v>88.195931477516055</v>
      </c>
    </row>
    <row r="256" spans="1:9" ht="25.5">
      <c r="A256" s="16" t="str">
        <f>'пр.4 вед.стр.'!A138</f>
        <v>Основное мероприятие "Организация проведения областных универсальных совместных ярмарок товаров"</v>
      </c>
      <c r="B256" s="20" t="s">
        <v>64</v>
      </c>
      <c r="C256" s="20" t="s">
        <v>74</v>
      </c>
      <c r="D256" s="102" t="str">
        <f>'пр.4 вед.стр.'!E138</f>
        <v xml:space="preserve">7Н 0 01 00000 </v>
      </c>
      <c r="E256" s="97"/>
      <c r="F256" s="59">
        <f>F258+F260</f>
        <v>373.6</v>
      </c>
      <c r="G256" s="59">
        <f t="shared" ref="G256:H256" si="116">G258+G260</f>
        <v>329.5</v>
      </c>
      <c r="H256" s="59">
        <f t="shared" si="116"/>
        <v>44.100000000000023</v>
      </c>
      <c r="I256" s="190">
        <f t="shared" si="93"/>
        <v>88.195931477516055</v>
      </c>
    </row>
    <row r="257" spans="1:9" ht="25.5">
      <c r="A257" s="16" t="str">
        <f>'пр.4 вед.стр.'!A139</f>
        <v>Мероприятия по организации и проведению областных универсальных совместных ярмарок</v>
      </c>
      <c r="B257" s="20" t="s">
        <v>64</v>
      </c>
      <c r="C257" s="20" t="s">
        <v>74</v>
      </c>
      <c r="D257" s="102" t="str">
        <f>'пр.4 вед.стр.'!E139</f>
        <v>7Н 0 01 73900</v>
      </c>
      <c r="E257" s="97"/>
      <c r="F257" s="59">
        <f>F258</f>
        <v>306</v>
      </c>
      <c r="G257" s="59">
        <f t="shared" ref="G257:H258" si="117">G258</f>
        <v>261.89999999999998</v>
      </c>
      <c r="H257" s="59">
        <f t="shared" si="117"/>
        <v>44.100000000000023</v>
      </c>
      <c r="I257" s="190">
        <f t="shared" si="93"/>
        <v>85.588235294117638</v>
      </c>
    </row>
    <row r="258" spans="1:9" ht="25.5">
      <c r="A258" s="16" t="s">
        <v>331</v>
      </c>
      <c r="B258" s="20" t="s">
        <v>64</v>
      </c>
      <c r="C258" s="20" t="s">
        <v>74</v>
      </c>
      <c r="D258" s="102" t="str">
        <f>'пр.4 вед.стр.'!E139</f>
        <v>7Н 0 01 73900</v>
      </c>
      <c r="E258" s="97" t="s">
        <v>92</v>
      </c>
      <c r="F258" s="59">
        <f>F259</f>
        <v>306</v>
      </c>
      <c r="G258" s="59">
        <f t="shared" si="117"/>
        <v>261.89999999999998</v>
      </c>
      <c r="H258" s="59">
        <f t="shared" si="117"/>
        <v>44.100000000000023</v>
      </c>
      <c r="I258" s="190">
        <f t="shared" si="93"/>
        <v>85.588235294117638</v>
      </c>
    </row>
    <row r="259" spans="1:9" ht="25.5">
      <c r="A259" s="16" t="s">
        <v>556</v>
      </c>
      <c r="B259" s="20" t="s">
        <v>64</v>
      </c>
      <c r="C259" s="20" t="s">
        <v>74</v>
      </c>
      <c r="D259" s="102" t="str">
        <f>'пр.4 вед.стр.'!E140</f>
        <v>7Н 0 01 73900</v>
      </c>
      <c r="E259" s="97" t="s">
        <v>89</v>
      </c>
      <c r="F259" s="59">
        <f>'пр.4 вед.стр.'!G141</f>
        <v>306</v>
      </c>
      <c r="G259" s="59">
        <f>'пр.4 вед.стр.'!H141</f>
        <v>261.89999999999998</v>
      </c>
      <c r="H259" s="59">
        <f>'пр.4 вед.стр.'!I141</f>
        <v>44.100000000000023</v>
      </c>
      <c r="I259" s="190">
        <f t="shared" si="93"/>
        <v>85.588235294117638</v>
      </c>
    </row>
    <row r="260" spans="1:9" ht="25.5">
      <c r="A260" s="16" t="str">
        <f>'пр.4 вед.стр.'!A142</f>
        <v>Мероприятия по организации и проведению областных универсальных совместных ярмарок за счет средств местного бюджета</v>
      </c>
      <c r="B260" s="20" t="s">
        <v>64</v>
      </c>
      <c r="C260" s="20" t="s">
        <v>74</v>
      </c>
      <c r="D260" s="102" t="str">
        <f>'пр.4 вед.стр.'!E142</f>
        <v xml:space="preserve">7Н 0 01 S3900 </v>
      </c>
      <c r="E260" s="97"/>
      <c r="F260" s="59">
        <f>F263+F261</f>
        <v>67.599999999999994</v>
      </c>
      <c r="G260" s="59">
        <f t="shared" ref="G260:H260" si="118">G263+G261</f>
        <v>67.599999999999994</v>
      </c>
      <c r="H260" s="59">
        <f t="shared" si="118"/>
        <v>0</v>
      </c>
      <c r="I260" s="190">
        <f t="shared" si="93"/>
        <v>100</v>
      </c>
    </row>
    <row r="261" spans="1:9" ht="51">
      <c r="A261" s="16" t="str">
        <f>'пр.4 вед.стр.'!A143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20" t="s">
        <v>64</v>
      </c>
      <c r="C261" s="20" t="s">
        <v>74</v>
      </c>
      <c r="D261" s="102" t="str">
        <f>'пр.4 вед.стр.'!E143</f>
        <v xml:space="preserve">7Н 0 01 S3900 </v>
      </c>
      <c r="E261" s="97" t="str">
        <f>'пр.4 вед.стр.'!F143</f>
        <v>100</v>
      </c>
      <c r="F261" s="59">
        <f>F262</f>
        <v>15</v>
      </c>
      <c r="G261" s="59">
        <f t="shared" ref="G261:H261" si="119">G262</f>
        <v>15</v>
      </c>
      <c r="H261" s="59">
        <f t="shared" si="119"/>
        <v>0</v>
      </c>
      <c r="I261" s="190">
        <f t="shared" si="93"/>
        <v>100</v>
      </c>
    </row>
    <row r="262" spans="1:9" ht="25.5">
      <c r="A262" s="16" t="str">
        <f>'пр.4 вед.стр.'!A144</f>
        <v>Расходы на выплаты персоналу государственных (муниципальных) органов</v>
      </c>
      <c r="B262" s="20" t="s">
        <v>64</v>
      </c>
      <c r="C262" s="20" t="s">
        <v>74</v>
      </c>
      <c r="D262" s="102" t="str">
        <f>'пр.4 вед.стр.'!E144</f>
        <v xml:space="preserve">7Н 0 01 S3900 </v>
      </c>
      <c r="E262" s="97" t="str">
        <f>'пр.4 вед.стр.'!F144</f>
        <v>120</v>
      </c>
      <c r="F262" s="59">
        <f>'пр.4 вед.стр.'!G144</f>
        <v>15</v>
      </c>
      <c r="G262" s="59">
        <f>'пр.4 вед.стр.'!H144</f>
        <v>15</v>
      </c>
      <c r="H262" s="59">
        <f>'пр.4 вед.стр.'!I144</f>
        <v>0</v>
      </c>
      <c r="I262" s="190">
        <f t="shared" si="93"/>
        <v>100</v>
      </c>
    </row>
    <row r="263" spans="1:9" ht="25.5">
      <c r="A263" s="16" t="str">
        <f>'пр.4 вед.стр.'!A145</f>
        <v>Закупка товаров, работ и услуг для обеспечения государственных (муниципальных) нужд</v>
      </c>
      <c r="B263" s="20" t="s">
        <v>64</v>
      </c>
      <c r="C263" s="20" t="s">
        <v>74</v>
      </c>
      <c r="D263" s="102" t="str">
        <f>'пр.4 вед.стр.'!E145</f>
        <v xml:space="preserve">7Н 0 01 S3900 </v>
      </c>
      <c r="E263" s="97" t="str">
        <f>'пр.4 вед.стр.'!F145</f>
        <v>200</v>
      </c>
      <c r="F263" s="59">
        <f>F264</f>
        <v>52.6</v>
      </c>
      <c r="G263" s="59">
        <f t="shared" ref="G263:H263" si="120">G264</f>
        <v>52.6</v>
      </c>
      <c r="H263" s="59">
        <f t="shared" si="120"/>
        <v>0</v>
      </c>
      <c r="I263" s="190">
        <f t="shared" si="93"/>
        <v>100</v>
      </c>
    </row>
    <row r="264" spans="1:9" ht="25.5">
      <c r="A264" s="16" t="s">
        <v>556</v>
      </c>
      <c r="B264" s="20" t="s">
        <v>64</v>
      </c>
      <c r="C264" s="20" t="s">
        <v>74</v>
      </c>
      <c r="D264" s="102" t="str">
        <f>'пр.4 вед.стр.'!E146</f>
        <v xml:space="preserve">7Н 0 01 S3900 </v>
      </c>
      <c r="E264" s="97" t="str">
        <f>'пр.4 вед.стр.'!F146</f>
        <v>240</v>
      </c>
      <c r="F264" s="59">
        <f>'пр.4 вед.стр.'!G146</f>
        <v>52.6</v>
      </c>
      <c r="G264" s="59">
        <f>'пр.4 вед.стр.'!H146</f>
        <v>52.6</v>
      </c>
      <c r="H264" s="59">
        <f>'пр.4 вед.стр.'!I146</f>
        <v>0</v>
      </c>
      <c r="I264" s="190">
        <f t="shared" si="93"/>
        <v>100</v>
      </c>
    </row>
    <row r="265" spans="1:9">
      <c r="A265" s="14" t="s">
        <v>126</v>
      </c>
      <c r="B265" s="35" t="s">
        <v>68</v>
      </c>
      <c r="C265" s="35" t="s">
        <v>33</v>
      </c>
      <c r="D265" s="103"/>
      <c r="E265" s="100"/>
      <c r="F265" s="143">
        <f>F266+F282+F304</f>
        <v>47286.7</v>
      </c>
      <c r="G265" s="143">
        <f t="shared" ref="G265:H265" si="121">G266+G282+G304</f>
        <v>44006.999999999993</v>
      </c>
      <c r="H265" s="143">
        <f t="shared" si="121"/>
        <v>3279.6999999999989</v>
      </c>
      <c r="I265" s="190">
        <f t="shared" si="93"/>
        <v>93.064223132508701</v>
      </c>
    </row>
    <row r="266" spans="1:9">
      <c r="A266" s="14" t="s">
        <v>125</v>
      </c>
      <c r="B266" s="35" t="s">
        <v>68</v>
      </c>
      <c r="C266" s="35" t="s">
        <v>62</v>
      </c>
      <c r="D266" s="102"/>
      <c r="E266" s="97"/>
      <c r="F266" s="143">
        <f>F267+F273</f>
        <v>17113.599999999999</v>
      </c>
      <c r="G266" s="143">
        <f t="shared" ref="G266:H266" si="122">G267+G273</f>
        <v>15326.3</v>
      </c>
      <c r="H266" s="143">
        <f t="shared" si="122"/>
        <v>1787.2999999999997</v>
      </c>
      <c r="I266" s="190">
        <f t="shared" ref="I266:I329" si="123">G266/F266*100</f>
        <v>89.556259349289462</v>
      </c>
    </row>
    <row r="267" spans="1:9">
      <c r="A267" s="16" t="s">
        <v>430</v>
      </c>
      <c r="B267" s="19" t="s">
        <v>68</v>
      </c>
      <c r="C267" s="19" t="s">
        <v>62</v>
      </c>
      <c r="D267" s="102" t="s">
        <v>431</v>
      </c>
      <c r="E267" s="97"/>
      <c r="F267" s="59">
        <f>F268</f>
        <v>4475</v>
      </c>
      <c r="G267" s="59">
        <f t="shared" ref="G267:H271" si="124">G268</f>
        <v>4475</v>
      </c>
      <c r="H267" s="59">
        <f t="shared" si="124"/>
        <v>0</v>
      </c>
      <c r="I267" s="190">
        <f t="shared" si="123"/>
        <v>100</v>
      </c>
    </row>
    <row r="268" spans="1:9" ht="38.25">
      <c r="A268" s="28" t="str">
        <f>'пр.4 вед.стр.'!A921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268" s="19" t="s">
        <v>68</v>
      </c>
      <c r="C268" s="19" t="s">
        <v>62</v>
      </c>
      <c r="D268" s="102" t="str">
        <f>'пр.4 вед.стр.'!E921</f>
        <v xml:space="preserve">7Г 0 00 00000 </v>
      </c>
      <c r="E268" s="97"/>
      <c r="F268" s="59">
        <f>F269</f>
        <v>4475</v>
      </c>
      <c r="G268" s="59">
        <f t="shared" si="124"/>
        <v>4475</v>
      </c>
      <c r="H268" s="59">
        <f t="shared" si="124"/>
        <v>0</v>
      </c>
      <c r="I268" s="190">
        <f t="shared" si="123"/>
        <v>100</v>
      </c>
    </row>
    <row r="269" spans="1:9" ht="25.5">
      <c r="A269" s="28" t="str">
        <f>'пр.4 вед.стр.'!A922</f>
        <v>Основное мероприятие "Оптимизация системы расселения в Сусуманском городском округе"</v>
      </c>
      <c r="B269" s="19" t="s">
        <v>68</v>
      </c>
      <c r="C269" s="19" t="s">
        <v>62</v>
      </c>
      <c r="D269" s="102" t="str">
        <f>'пр.4 вед.стр.'!E922</f>
        <v xml:space="preserve">7Г 0 01 00000 </v>
      </c>
      <c r="E269" s="97"/>
      <c r="F269" s="59">
        <f>F270</f>
        <v>4475</v>
      </c>
      <c r="G269" s="59">
        <f t="shared" si="124"/>
        <v>4475</v>
      </c>
      <c r="H269" s="59">
        <f t="shared" si="124"/>
        <v>0</v>
      </c>
      <c r="I269" s="190">
        <f t="shared" si="123"/>
        <v>100</v>
      </c>
    </row>
    <row r="270" spans="1:9">
      <c r="A270" s="28" t="str">
        <f>'пр.4 вед.стр.'!A923</f>
        <v xml:space="preserve">Оптимизация жилищного фонда в виде расселения </v>
      </c>
      <c r="B270" s="19" t="s">
        <v>68</v>
      </c>
      <c r="C270" s="19" t="s">
        <v>62</v>
      </c>
      <c r="D270" s="102" t="str">
        <f>'пр.4 вед.стр.'!E923</f>
        <v xml:space="preserve">7Г 0 01 96610 </v>
      </c>
      <c r="E270" s="97"/>
      <c r="F270" s="59">
        <f>F271</f>
        <v>4475</v>
      </c>
      <c r="G270" s="59">
        <f t="shared" si="124"/>
        <v>4475</v>
      </c>
      <c r="H270" s="59">
        <f t="shared" si="124"/>
        <v>0</v>
      </c>
      <c r="I270" s="190">
        <f t="shared" si="123"/>
        <v>100</v>
      </c>
    </row>
    <row r="271" spans="1:9" ht="25.5">
      <c r="A271" s="28" t="str">
        <f>'пр.4 вед.стр.'!A924</f>
        <v>Закупка товаров, работ и услуг для обеспечения государственных (муниципальных) нужд</v>
      </c>
      <c r="B271" s="19" t="s">
        <v>68</v>
      </c>
      <c r="C271" s="19" t="s">
        <v>62</v>
      </c>
      <c r="D271" s="102" t="str">
        <f>'пр.4 вед.стр.'!E924</f>
        <v xml:space="preserve">7Г 0 01 96610 </v>
      </c>
      <c r="E271" s="97" t="str">
        <f>'пр.4 вед.стр.'!F924</f>
        <v>200</v>
      </c>
      <c r="F271" s="59">
        <f>F272</f>
        <v>4475</v>
      </c>
      <c r="G271" s="59">
        <f t="shared" si="124"/>
        <v>4475</v>
      </c>
      <c r="H271" s="59">
        <f t="shared" si="124"/>
        <v>0</v>
      </c>
      <c r="I271" s="190">
        <f t="shared" si="123"/>
        <v>100</v>
      </c>
    </row>
    <row r="272" spans="1:9" ht="25.5">
      <c r="A272" s="16" t="s">
        <v>556</v>
      </c>
      <c r="B272" s="19" t="s">
        <v>68</v>
      </c>
      <c r="C272" s="19" t="s">
        <v>62</v>
      </c>
      <c r="D272" s="102" t="str">
        <f>'пр.4 вед.стр.'!E925</f>
        <v xml:space="preserve">7Г 0 01 96610 </v>
      </c>
      <c r="E272" s="97" t="str">
        <f>'пр.4 вед.стр.'!F925</f>
        <v>240</v>
      </c>
      <c r="F272" s="59">
        <f>'пр.4 вед.стр.'!G924</f>
        <v>4475</v>
      </c>
      <c r="G272" s="59">
        <f>'пр.4 вед.стр.'!H924</f>
        <v>4475</v>
      </c>
      <c r="H272" s="59">
        <f>'пр.4 вед.стр.'!I924</f>
        <v>0</v>
      </c>
      <c r="I272" s="190">
        <f t="shared" si="123"/>
        <v>100</v>
      </c>
    </row>
    <row r="273" spans="1:9">
      <c r="A273" s="29" t="s">
        <v>168</v>
      </c>
      <c r="B273" s="19" t="s">
        <v>68</v>
      </c>
      <c r="C273" s="19" t="s">
        <v>62</v>
      </c>
      <c r="D273" s="97" t="s">
        <v>436</v>
      </c>
      <c r="E273" s="97"/>
      <c r="F273" s="59">
        <f>F274+F277</f>
        <v>12638.599999999999</v>
      </c>
      <c r="G273" s="59">
        <f t="shared" ref="G273:H273" si="125">G274+G277</f>
        <v>10851.3</v>
      </c>
      <c r="H273" s="59">
        <f t="shared" si="125"/>
        <v>1787.2999999999997</v>
      </c>
      <c r="I273" s="190">
        <f t="shared" si="123"/>
        <v>85.858402038200438</v>
      </c>
    </row>
    <row r="274" spans="1:9">
      <c r="A274" s="16" t="s">
        <v>199</v>
      </c>
      <c r="B274" s="19" t="s">
        <v>68</v>
      </c>
      <c r="C274" s="19" t="s">
        <v>62</v>
      </c>
      <c r="D274" s="97" t="s">
        <v>437</v>
      </c>
      <c r="E274" s="97"/>
      <c r="F274" s="59">
        <f>F275</f>
        <v>5407.2999999999993</v>
      </c>
      <c r="G274" s="59">
        <f t="shared" ref="G274:H275" si="126">G275</f>
        <v>4623</v>
      </c>
      <c r="H274" s="59">
        <f t="shared" si="126"/>
        <v>784.29999999999973</v>
      </c>
      <c r="I274" s="190">
        <f t="shared" si="123"/>
        <v>85.495533815397721</v>
      </c>
    </row>
    <row r="275" spans="1:9" ht="25.5">
      <c r="A275" s="16" t="s">
        <v>331</v>
      </c>
      <c r="B275" s="19" t="s">
        <v>68</v>
      </c>
      <c r="C275" s="19" t="s">
        <v>62</v>
      </c>
      <c r="D275" s="97" t="s">
        <v>437</v>
      </c>
      <c r="E275" s="97" t="s">
        <v>92</v>
      </c>
      <c r="F275" s="59">
        <f>F276</f>
        <v>5407.2999999999993</v>
      </c>
      <c r="G275" s="59">
        <f t="shared" si="126"/>
        <v>4623</v>
      </c>
      <c r="H275" s="59">
        <f t="shared" si="126"/>
        <v>784.29999999999973</v>
      </c>
      <c r="I275" s="190">
        <f t="shared" si="123"/>
        <v>85.495533815397721</v>
      </c>
    </row>
    <row r="276" spans="1:9" ht="25.5">
      <c r="A276" s="16" t="s">
        <v>556</v>
      </c>
      <c r="B276" s="19" t="s">
        <v>68</v>
      </c>
      <c r="C276" s="19" t="s">
        <v>62</v>
      </c>
      <c r="D276" s="97" t="s">
        <v>437</v>
      </c>
      <c r="E276" s="97" t="s">
        <v>89</v>
      </c>
      <c r="F276" s="59">
        <f>'пр.4 вед.стр.'!G152+'пр.4 вед.стр.'!G346+'пр.4 вед.стр.'!G929</f>
        <v>5407.2999999999993</v>
      </c>
      <c r="G276" s="59">
        <f>'пр.4 вед.стр.'!H152+'пр.4 вед.стр.'!H346+'пр.4 вед.стр.'!H929</f>
        <v>4623</v>
      </c>
      <c r="H276" s="59">
        <f>'пр.4 вед.стр.'!I152+'пр.4 вед.стр.'!I346+'пр.4 вед.стр.'!I929</f>
        <v>784.29999999999973</v>
      </c>
      <c r="I276" s="190">
        <f t="shared" si="123"/>
        <v>85.495533815397721</v>
      </c>
    </row>
    <row r="277" spans="1:9">
      <c r="A277" s="16" t="s">
        <v>203</v>
      </c>
      <c r="B277" s="19" t="s">
        <v>68</v>
      </c>
      <c r="C277" s="19" t="s">
        <v>62</v>
      </c>
      <c r="D277" s="97" t="s">
        <v>508</v>
      </c>
      <c r="E277" s="97"/>
      <c r="F277" s="59">
        <f>F280+F278</f>
        <v>7231.3</v>
      </c>
      <c r="G277" s="59">
        <f t="shared" ref="G277:H277" si="127">G280+G278</f>
        <v>6228.3</v>
      </c>
      <c r="H277" s="59">
        <f t="shared" si="127"/>
        <v>1003</v>
      </c>
      <c r="I277" s="190">
        <f t="shared" si="123"/>
        <v>86.129741540248645</v>
      </c>
    </row>
    <row r="278" spans="1:9" ht="25.5">
      <c r="A278" s="16" t="s">
        <v>331</v>
      </c>
      <c r="B278" s="19" t="s">
        <v>68</v>
      </c>
      <c r="C278" s="19" t="s">
        <v>62</v>
      </c>
      <c r="D278" s="97" t="s">
        <v>508</v>
      </c>
      <c r="E278" s="97" t="s">
        <v>92</v>
      </c>
      <c r="F278" s="59">
        <f>F279</f>
        <v>350</v>
      </c>
      <c r="G278" s="59">
        <f t="shared" ref="G278:H278" si="128">G279</f>
        <v>247</v>
      </c>
      <c r="H278" s="59">
        <f t="shared" si="128"/>
        <v>103</v>
      </c>
      <c r="I278" s="190">
        <f t="shared" si="123"/>
        <v>70.571428571428569</v>
      </c>
    </row>
    <row r="279" spans="1:9" ht="25.5">
      <c r="A279" s="16" t="s">
        <v>556</v>
      </c>
      <c r="B279" s="19" t="s">
        <v>68</v>
      </c>
      <c r="C279" s="19" t="s">
        <v>62</v>
      </c>
      <c r="D279" s="97" t="s">
        <v>508</v>
      </c>
      <c r="E279" s="97" t="s">
        <v>89</v>
      </c>
      <c r="F279" s="59">
        <f>'пр.4 вед.стр.'!G932</f>
        <v>350</v>
      </c>
      <c r="G279" s="59">
        <f>'пр.4 вед.стр.'!H932</f>
        <v>247</v>
      </c>
      <c r="H279" s="59">
        <f>'пр.4 вед.стр.'!I932</f>
        <v>103</v>
      </c>
      <c r="I279" s="190">
        <f t="shared" si="123"/>
        <v>70.571428571428569</v>
      </c>
    </row>
    <row r="280" spans="1:9">
      <c r="A280" s="16" t="s">
        <v>108</v>
      </c>
      <c r="B280" s="19" t="s">
        <v>68</v>
      </c>
      <c r="C280" s="19" t="s">
        <v>62</v>
      </c>
      <c r="D280" s="97" t="s">
        <v>508</v>
      </c>
      <c r="E280" s="97" t="s">
        <v>109</v>
      </c>
      <c r="F280" s="59">
        <f>F281</f>
        <v>6881.3</v>
      </c>
      <c r="G280" s="59">
        <f t="shared" ref="G280:H280" si="129">G281</f>
        <v>5981.3</v>
      </c>
      <c r="H280" s="59">
        <f t="shared" si="129"/>
        <v>900</v>
      </c>
      <c r="I280" s="190">
        <f t="shared" si="123"/>
        <v>86.921075959484398</v>
      </c>
    </row>
    <row r="281" spans="1:9">
      <c r="A281" s="16" t="s">
        <v>111</v>
      </c>
      <c r="B281" s="19" t="s">
        <v>68</v>
      </c>
      <c r="C281" s="19" t="s">
        <v>62</v>
      </c>
      <c r="D281" s="97" t="s">
        <v>508</v>
      </c>
      <c r="E281" s="97" t="s">
        <v>112</v>
      </c>
      <c r="F281" s="59">
        <f>'пр.4 вед.стр.'!G934</f>
        <v>6881.3</v>
      </c>
      <c r="G281" s="59">
        <f>'пр.4 вед.стр.'!H934</f>
        <v>5981.3</v>
      </c>
      <c r="H281" s="59">
        <f>'пр.4 вед.стр.'!I934</f>
        <v>900</v>
      </c>
      <c r="I281" s="190">
        <f t="shared" si="123"/>
        <v>86.921075959484398</v>
      </c>
    </row>
    <row r="282" spans="1:9">
      <c r="A282" s="15" t="s">
        <v>170</v>
      </c>
      <c r="B282" s="35" t="s">
        <v>68</v>
      </c>
      <c r="C282" s="35" t="s">
        <v>63</v>
      </c>
      <c r="D282" s="103"/>
      <c r="E282" s="100"/>
      <c r="F282" s="143">
        <f>F283+F297</f>
        <v>25104.399999999998</v>
      </c>
      <c r="G282" s="143">
        <f t="shared" ref="G282:H282" si="130">G283+G297</f>
        <v>24687.1</v>
      </c>
      <c r="H282" s="143">
        <f t="shared" si="130"/>
        <v>417.29999999999927</v>
      </c>
      <c r="I282" s="190">
        <f t="shared" si="123"/>
        <v>98.337741591115503</v>
      </c>
    </row>
    <row r="283" spans="1:9">
      <c r="A283" s="16" t="s">
        <v>430</v>
      </c>
      <c r="B283" s="19" t="s">
        <v>68</v>
      </c>
      <c r="C283" s="19" t="s">
        <v>63</v>
      </c>
      <c r="D283" s="102" t="s">
        <v>500</v>
      </c>
      <c r="E283" s="97"/>
      <c r="F283" s="59">
        <f>F284+F289</f>
        <v>21166.799999999999</v>
      </c>
      <c r="G283" s="59">
        <f t="shared" ref="G283:H283" si="131">G284+G289</f>
        <v>20881</v>
      </c>
      <c r="H283" s="59">
        <f t="shared" si="131"/>
        <v>285.79999999999927</v>
      </c>
      <c r="I283" s="190">
        <f t="shared" si="123"/>
        <v>98.649772284899001</v>
      </c>
    </row>
    <row r="284" spans="1:9" ht="38.25">
      <c r="A284" s="16" t="str">
        <f>'пр.4 вед.стр.'!A937</f>
        <v>Муниципальная программа "Финансовая поддержка организациям коммунального комплекса Сусуманского городского округа на 2018- 2022 годы"</v>
      </c>
      <c r="B284" s="19" t="s">
        <v>68</v>
      </c>
      <c r="C284" s="19" t="s">
        <v>63</v>
      </c>
      <c r="D284" s="102" t="str">
        <f>'пр.4 вед.стр.'!E937</f>
        <v>7Я 0 00 00000</v>
      </c>
      <c r="E284" s="97"/>
      <c r="F284" s="59">
        <f>F285</f>
        <v>800</v>
      </c>
      <c r="G284" s="59">
        <f t="shared" ref="G284:H287" si="132">G285</f>
        <v>700</v>
      </c>
      <c r="H284" s="59">
        <f t="shared" si="132"/>
        <v>100</v>
      </c>
      <c r="I284" s="190">
        <f t="shared" si="123"/>
        <v>87.5</v>
      </c>
    </row>
    <row r="285" spans="1:9" ht="25.5">
      <c r="A285" s="29" t="str">
        <f>'пр.4 вед.стр.'!A938</f>
        <v>Основное мероприятие  "Финансовая поддержка организациям коммунального комплекса"</v>
      </c>
      <c r="B285" s="19" t="s">
        <v>68</v>
      </c>
      <c r="C285" s="19" t="s">
        <v>63</v>
      </c>
      <c r="D285" s="102" t="str">
        <f>'пр.4 вед.стр.'!E938</f>
        <v>7Я 0 01 00000</v>
      </c>
      <c r="E285" s="97"/>
      <c r="F285" s="59">
        <f>F286</f>
        <v>800</v>
      </c>
      <c r="G285" s="59">
        <f t="shared" si="132"/>
        <v>700</v>
      </c>
      <c r="H285" s="59">
        <f t="shared" si="132"/>
        <v>100</v>
      </c>
      <c r="I285" s="190">
        <f t="shared" si="123"/>
        <v>87.5</v>
      </c>
    </row>
    <row r="286" spans="1:9" ht="38.25">
      <c r="A286" s="16" t="str">
        <f>'пр.4 вед.стр.'!A939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286" s="19" t="s">
        <v>68</v>
      </c>
      <c r="C286" s="19" t="s">
        <v>63</v>
      </c>
      <c r="D286" s="102" t="str">
        <f>'пр.4 вед.стр.'!E939</f>
        <v>7Я 0 01 98700</v>
      </c>
      <c r="E286" s="97"/>
      <c r="F286" s="59">
        <f>F287</f>
        <v>800</v>
      </c>
      <c r="G286" s="59">
        <f t="shared" si="132"/>
        <v>700</v>
      </c>
      <c r="H286" s="59">
        <f t="shared" si="132"/>
        <v>100</v>
      </c>
      <c r="I286" s="190">
        <f t="shared" si="123"/>
        <v>87.5</v>
      </c>
    </row>
    <row r="287" spans="1:9">
      <c r="A287" s="16" t="str">
        <f>'пр.4 вед.стр.'!A940</f>
        <v>Иные бюджетные ассигнования</v>
      </c>
      <c r="B287" s="19" t="s">
        <v>68</v>
      </c>
      <c r="C287" s="19" t="s">
        <v>63</v>
      </c>
      <c r="D287" s="102" t="str">
        <f>'пр.4 вед.стр.'!E940</f>
        <v>7Я 0 01 98700</v>
      </c>
      <c r="E287" s="97" t="str">
        <f>'пр.4 вед.стр.'!F940</f>
        <v>800</v>
      </c>
      <c r="F287" s="59">
        <f>F288</f>
        <v>800</v>
      </c>
      <c r="G287" s="59">
        <f t="shared" si="132"/>
        <v>700</v>
      </c>
      <c r="H287" s="59">
        <f t="shared" si="132"/>
        <v>100</v>
      </c>
      <c r="I287" s="190">
        <f t="shared" si="123"/>
        <v>87.5</v>
      </c>
    </row>
    <row r="288" spans="1:9" ht="38.25">
      <c r="A288" s="16" t="str">
        <f>'пр.4 вед.стр.'!A941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8" s="19" t="s">
        <v>68</v>
      </c>
      <c r="C288" s="19" t="s">
        <v>63</v>
      </c>
      <c r="D288" s="102" t="str">
        <f>'пр.4 вед.стр.'!E941</f>
        <v>7Я 0 01 98700</v>
      </c>
      <c r="E288" s="97" t="str">
        <f>'пр.4 вед.стр.'!F941</f>
        <v>810</v>
      </c>
      <c r="F288" s="59">
        <f>'пр.4 вед.стр.'!G941</f>
        <v>800</v>
      </c>
      <c r="G288" s="59">
        <f>'пр.4 вед.стр.'!H941</f>
        <v>700</v>
      </c>
      <c r="H288" s="59">
        <f>'пр.4 вед.стр.'!I941</f>
        <v>100</v>
      </c>
      <c r="I288" s="190">
        <f t="shared" si="123"/>
        <v>87.5</v>
      </c>
    </row>
    <row r="289" spans="1:9" ht="38.25">
      <c r="A289" s="16" t="str">
        <f>'пр.4 вед.стр.'!A942</f>
        <v>Муниципальная программа "Комплексное развитие систем коммунальной инфраструктуры Сусуманского городского округа на 2018- 2022 годы"</v>
      </c>
      <c r="B289" s="19" t="s">
        <v>68</v>
      </c>
      <c r="C289" s="19" t="s">
        <v>63</v>
      </c>
      <c r="D289" s="102" t="str">
        <f>'пр.4 вед.стр.'!E942</f>
        <v>7N 0 00 00000</v>
      </c>
      <c r="E289" s="97"/>
      <c r="F289" s="59">
        <f>F290</f>
        <v>20366.8</v>
      </c>
      <c r="G289" s="59">
        <f t="shared" ref="G289:H289" si="133">G290</f>
        <v>20181</v>
      </c>
      <c r="H289" s="59">
        <f t="shared" si="133"/>
        <v>185.79999999999927</v>
      </c>
      <c r="I289" s="190">
        <f t="shared" si="123"/>
        <v>99.087731013217592</v>
      </c>
    </row>
    <row r="290" spans="1:9" ht="25.5">
      <c r="A290" s="16" t="str">
        <f>'пр.4 вед.стр.'!A943</f>
        <v>Основное мероприятие "Проведение реконструкции, ремонта или замены оборудования на объектах коммунальной инфраструктуры"</v>
      </c>
      <c r="B290" s="19" t="s">
        <v>68</v>
      </c>
      <c r="C290" s="19" t="s">
        <v>63</v>
      </c>
      <c r="D290" s="102" t="str">
        <f>'пр.4 вед.стр.'!E943</f>
        <v>7N 0 01 00000</v>
      </c>
      <c r="E290" s="97"/>
      <c r="F290" s="59">
        <f>F291+F294</f>
        <v>20366.8</v>
      </c>
      <c r="G290" s="59">
        <f t="shared" ref="G290:H290" si="134">G291+G294</f>
        <v>20181</v>
      </c>
      <c r="H290" s="59">
        <f t="shared" si="134"/>
        <v>185.79999999999927</v>
      </c>
      <c r="I290" s="190">
        <f t="shared" si="123"/>
        <v>99.087731013217592</v>
      </c>
    </row>
    <row r="291" spans="1:9" ht="38.25">
      <c r="A291" s="16" t="str">
        <f>'пр.4 вед.стр.'!A944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291" s="19" t="s">
        <v>68</v>
      </c>
      <c r="C291" s="19" t="s">
        <v>63</v>
      </c>
      <c r="D291" s="102" t="str">
        <f>'пр.4 вед.стр.'!E944</f>
        <v>7N 0 01  98200</v>
      </c>
      <c r="E291" s="97"/>
      <c r="F291" s="59">
        <f>F292</f>
        <v>300</v>
      </c>
      <c r="G291" s="59">
        <f t="shared" ref="G291:H292" si="135">G292</f>
        <v>298.5</v>
      </c>
      <c r="H291" s="59">
        <f t="shared" si="135"/>
        <v>1.5</v>
      </c>
      <c r="I291" s="190">
        <f t="shared" si="123"/>
        <v>99.5</v>
      </c>
    </row>
    <row r="292" spans="1:9" ht="25.5">
      <c r="A292" s="16" t="str">
        <f>'пр.4 вед.стр.'!A945</f>
        <v>Закупка товаров, работ и услуг для обеспечения государственных (муниципальных) нужд</v>
      </c>
      <c r="B292" s="19" t="s">
        <v>68</v>
      </c>
      <c r="C292" s="19" t="s">
        <v>63</v>
      </c>
      <c r="D292" s="102" t="str">
        <f>'пр.4 вед.стр.'!E945</f>
        <v>7N 0 01  98200</v>
      </c>
      <c r="E292" s="97" t="str">
        <f>'пр.4 вед.стр.'!F945</f>
        <v>200</v>
      </c>
      <c r="F292" s="59">
        <f>F293</f>
        <v>300</v>
      </c>
      <c r="G292" s="59">
        <f t="shared" si="135"/>
        <v>298.5</v>
      </c>
      <c r="H292" s="59">
        <f t="shared" si="135"/>
        <v>1.5</v>
      </c>
      <c r="I292" s="190">
        <f t="shared" si="123"/>
        <v>99.5</v>
      </c>
    </row>
    <row r="293" spans="1:9" ht="25.5">
      <c r="A293" s="16" t="s">
        <v>556</v>
      </c>
      <c r="B293" s="19" t="s">
        <v>68</v>
      </c>
      <c r="C293" s="19" t="s">
        <v>63</v>
      </c>
      <c r="D293" s="102" t="str">
        <f>'пр.4 вед.стр.'!E946</f>
        <v>7N 0 01  98200</v>
      </c>
      <c r="E293" s="97" t="str">
        <f>'пр.4 вед.стр.'!F946</f>
        <v>240</v>
      </c>
      <c r="F293" s="59">
        <f>'пр.4 вед.стр.'!G946</f>
        <v>300</v>
      </c>
      <c r="G293" s="59">
        <f>'пр.4 вед.стр.'!H946</f>
        <v>298.5</v>
      </c>
      <c r="H293" s="59">
        <f>'пр.4 вед.стр.'!I946</f>
        <v>1.5</v>
      </c>
      <c r="I293" s="190">
        <f t="shared" si="123"/>
        <v>99.5</v>
      </c>
    </row>
    <row r="294" spans="1:9" ht="24" customHeight="1">
      <c r="A294" s="16" t="str">
        <f>'пр.4 вед.стр.'!A947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294" s="19" t="s">
        <v>68</v>
      </c>
      <c r="C294" s="19" t="s">
        <v>63</v>
      </c>
      <c r="D294" s="102" t="str">
        <f>'пр.4 вед.стр.'!E947</f>
        <v>7N 0 01  98100</v>
      </c>
      <c r="E294" s="97"/>
      <c r="F294" s="59">
        <f>F295</f>
        <v>20066.8</v>
      </c>
      <c r="G294" s="59">
        <f t="shared" ref="G294:H295" si="136">G295</f>
        <v>19882.5</v>
      </c>
      <c r="H294" s="59">
        <f t="shared" si="136"/>
        <v>184.29999999999927</v>
      </c>
      <c r="I294" s="190">
        <f t="shared" si="123"/>
        <v>99.081567564335131</v>
      </c>
    </row>
    <row r="295" spans="1:9" ht="25.5">
      <c r="A295" s="16" t="str">
        <f>'пр.4 вед.стр.'!A948</f>
        <v>Закупка товаров, работ и услуг для обеспечения государственных (муниципальных) нужд</v>
      </c>
      <c r="B295" s="19" t="s">
        <v>68</v>
      </c>
      <c r="C295" s="19" t="s">
        <v>63</v>
      </c>
      <c r="D295" s="102" t="str">
        <f>'пр.4 вед.стр.'!E948</f>
        <v>7N 0 01  98100</v>
      </c>
      <c r="E295" s="97" t="str">
        <f>'пр.4 вед.стр.'!F948</f>
        <v>200</v>
      </c>
      <c r="F295" s="59">
        <f>F296</f>
        <v>20066.8</v>
      </c>
      <c r="G295" s="59">
        <f t="shared" si="136"/>
        <v>19882.5</v>
      </c>
      <c r="H295" s="59">
        <f t="shared" si="136"/>
        <v>184.29999999999927</v>
      </c>
      <c r="I295" s="190">
        <f t="shared" si="123"/>
        <v>99.081567564335131</v>
      </c>
    </row>
    <row r="296" spans="1:9" ht="25.5">
      <c r="A296" s="16" t="str">
        <f>'пр.4 вед.стр.'!A949</f>
        <v>Иные закупки товаров, работ и услуг для обеспечения государственных ( муниципальных ) нужд</v>
      </c>
      <c r="B296" s="19" t="s">
        <v>68</v>
      </c>
      <c r="C296" s="19" t="s">
        <v>63</v>
      </c>
      <c r="D296" s="102" t="str">
        <f>'пр.4 вед.стр.'!E949</f>
        <v>7N 0 01  98100</v>
      </c>
      <c r="E296" s="97" t="str">
        <f>'пр.4 вед.стр.'!F949</f>
        <v>240</v>
      </c>
      <c r="F296" s="59">
        <f>'пр.4 вед.стр.'!G949</f>
        <v>20066.8</v>
      </c>
      <c r="G296" s="59">
        <f>'пр.4 вед.стр.'!H949</f>
        <v>19882.5</v>
      </c>
      <c r="H296" s="59">
        <f>'пр.4 вед.стр.'!I949</f>
        <v>184.29999999999927</v>
      </c>
      <c r="I296" s="190">
        <f t="shared" si="123"/>
        <v>99.081567564335131</v>
      </c>
    </row>
    <row r="297" spans="1:9">
      <c r="A297" s="16" t="str">
        <f>'пр.4 вед.стр.'!A950</f>
        <v>Поддержка коммунального хозяйства</v>
      </c>
      <c r="B297" s="19" t="s">
        <v>68</v>
      </c>
      <c r="C297" s="19" t="s">
        <v>63</v>
      </c>
      <c r="D297" s="97" t="s">
        <v>510</v>
      </c>
      <c r="E297" s="97"/>
      <c r="F297" s="59">
        <f>F298+F301</f>
        <v>3937.6</v>
      </c>
      <c r="G297" s="59">
        <f t="shared" ref="G297:H297" si="137">G298+G301</f>
        <v>3806.1</v>
      </c>
      <c r="H297" s="59">
        <f t="shared" si="137"/>
        <v>131.5</v>
      </c>
      <c r="I297" s="190">
        <f t="shared" si="123"/>
        <v>96.660402275497773</v>
      </c>
    </row>
    <row r="298" spans="1:9" ht="38.25">
      <c r="A298" s="16" t="str">
        <f>'пр.4 вед.стр.'!A951</f>
        <v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298" s="19" t="s">
        <v>68</v>
      </c>
      <c r="C298" s="19" t="s">
        <v>63</v>
      </c>
      <c r="D298" s="97" t="s">
        <v>511</v>
      </c>
      <c r="E298" s="97"/>
      <c r="F298" s="59">
        <f>F299</f>
        <v>2177</v>
      </c>
      <c r="G298" s="59">
        <f t="shared" ref="G298:H299" si="138">G299</f>
        <v>2114.5</v>
      </c>
      <c r="H298" s="59">
        <f t="shared" si="138"/>
        <v>62.5</v>
      </c>
      <c r="I298" s="190">
        <f t="shared" si="123"/>
        <v>97.129076711070283</v>
      </c>
    </row>
    <row r="299" spans="1:9">
      <c r="A299" s="16" t="s">
        <v>108</v>
      </c>
      <c r="B299" s="19" t="s">
        <v>68</v>
      </c>
      <c r="C299" s="19" t="s">
        <v>63</v>
      </c>
      <c r="D299" s="97" t="s">
        <v>511</v>
      </c>
      <c r="E299" s="97" t="s">
        <v>109</v>
      </c>
      <c r="F299" s="59">
        <f>F300</f>
        <v>2177</v>
      </c>
      <c r="G299" s="59">
        <f t="shared" si="138"/>
        <v>2114.5</v>
      </c>
      <c r="H299" s="59">
        <f t="shared" si="138"/>
        <v>62.5</v>
      </c>
      <c r="I299" s="190">
        <f t="shared" si="123"/>
        <v>97.129076711070283</v>
      </c>
    </row>
    <row r="300" spans="1:9" ht="38.25">
      <c r="A300" s="16" t="s">
        <v>133</v>
      </c>
      <c r="B300" s="19" t="s">
        <v>68</v>
      </c>
      <c r="C300" s="19" t="s">
        <v>63</v>
      </c>
      <c r="D300" s="97" t="s">
        <v>511</v>
      </c>
      <c r="E300" s="97" t="s">
        <v>110</v>
      </c>
      <c r="F300" s="59">
        <f>'пр.4 вед.стр.'!G953</f>
        <v>2177</v>
      </c>
      <c r="G300" s="59">
        <f>'пр.4 вед.стр.'!H953</f>
        <v>2114.5</v>
      </c>
      <c r="H300" s="59">
        <f>'пр.4 вед.стр.'!I953</f>
        <v>62.5</v>
      </c>
      <c r="I300" s="190">
        <f t="shared" si="123"/>
        <v>97.129076711070283</v>
      </c>
    </row>
    <row r="301" spans="1:9">
      <c r="A301" s="16" t="str">
        <f>'пр.4 вед.стр.'!A954</f>
        <v>Прочие мероприятия в области коммунального хозяйства</v>
      </c>
      <c r="B301" s="19" t="s">
        <v>68</v>
      </c>
      <c r="C301" s="19" t="s">
        <v>63</v>
      </c>
      <c r="D301" s="97" t="str">
        <f>'пр.4 вед.стр.'!E954</f>
        <v>К1 0 00 08050</v>
      </c>
      <c r="E301" s="97"/>
      <c r="F301" s="59">
        <f>F302</f>
        <v>1760.6</v>
      </c>
      <c r="G301" s="59">
        <f t="shared" ref="G301:H302" si="139">G302</f>
        <v>1691.6</v>
      </c>
      <c r="H301" s="59">
        <f t="shared" si="139"/>
        <v>69</v>
      </c>
      <c r="I301" s="190">
        <f t="shared" si="123"/>
        <v>96.080881517664423</v>
      </c>
    </row>
    <row r="302" spans="1:9" ht="25.5">
      <c r="A302" s="16" t="str">
        <f>'пр.4 вед.стр.'!A955</f>
        <v>Закупка товаров, работ и услуг для обеспечения государственных (муниципальных) нужд</v>
      </c>
      <c r="B302" s="19" t="s">
        <v>68</v>
      </c>
      <c r="C302" s="19" t="s">
        <v>63</v>
      </c>
      <c r="D302" s="97" t="str">
        <f>'пр.4 вед.стр.'!E955</f>
        <v>К1 0 00 08050</v>
      </c>
      <c r="E302" s="97" t="str">
        <f>'пр.4 вед.стр.'!F955</f>
        <v>200</v>
      </c>
      <c r="F302" s="59">
        <f>F303</f>
        <v>1760.6</v>
      </c>
      <c r="G302" s="59">
        <f t="shared" si="139"/>
        <v>1691.6</v>
      </c>
      <c r="H302" s="59">
        <f t="shared" si="139"/>
        <v>69</v>
      </c>
      <c r="I302" s="190">
        <f t="shared" si="123"/>
        <v>96.080881517664423</v>
      </c>
    </row>
    <row r="303" spans="1:9" ht="25.5">
      <c r="A303" s="16" t="s">
        <v>556</v>
      </c>
      <c r="B303" s="19" t="s">
        <v>68</v>
      </c>
      <c r="C303" s="19" t="s">
        <v>63</v>
      </c>
      <c r="D303" s="97" t="str">
        <f>'пр.4 вед.стр.'!E956</f>
        <v>К1 0 00 08050</v>
      </c>
      <c r="E303" s="97" t="str">
        <f>'пр.4 вед.стр.'!F956</f>
        <v>240</v>
      </c>
      <c r="F303" s="59">
        <f>'пр.4 вед.стр.'!G956</f>
        <v>1760.6</v>
      </c>
      <c r="G303" s="59">
        <f>'пр.4 вед.стр.'!H956</f>
        <v>1691.6</v>
      </c>
      <c r="H303" s="59">
        <f>'пр.4 вед.стр.'!I956</f>
        <v>69</v>
      </c>
      <c r="I303" s="190">
        <f t="shared" si="123"/>
        <v>96.080881517664423</v>
      </c>
    </row>
    <row r="304" spans="1:9">
      <c r="A304" s="15" t="s">
        <v>172</v>
      </c>
      <c r="B304" s="35" t="s">
        <v>68</v>
      </c>
      <c r="C304" s="35" t="s">
        <v>66</v>
      </c>
      <c r="D304" s="100"/>
      <c r="E304" s="100"/>
      <c r="F304" s="143">
        <f>F305+F316+F323+F330</f>
        <v>5068.7</v>
      </c>
      <c r="G304" s="143">
        <f t="shared" ref="G304:H304" si="140">G305+G316+G323+G330</f>
        <v>3993.6</v>
      </c>
      <c r="H304" s="143">
        <f t="shared" si="140"/>
        <v>1075.0999999999999</v>
      </c>
      <c r="I304" s="190">
        <f t="shared" si="123"/>
        <v>78.78943318799692</v>
      </c>
    </row>
    <row r="305" spans="1:9">
      <c r="A305" s="16" t="s">
        <v>430</v>
      </c>
      <c r="B305" s="19" t="s">
        <v>68</v>
      </c>
      <c r="C305" s="19" t="s">
        <v>66</v>
      </c>
      <c r="D305" s="102" t="s">
        <v>500</v>
      </c>
      <c r="E305" s="97"/>
      <c r="F305" s="59">
        <f>F306+F311</f>
        <v>197</v>
      </c>
      <c r="G305" s="59">
        <f t="shared" ref="G305:H305" si="141">G306+G311</f>
        <v>197</v>
      </c>
      <c r="H305" s="59">
        <f t="shared" si="141"/>
        <v>0</v>
      </c>
      <c r="I305" s="190">
        <f t="shared" si="123"/>
        <v>100</v>
      </c>
    </row>
    <row r="306" spans="1:9" ht="38.25">
      <c r="A306" s="16" t="str">
        <f>'пр.4 вед.стр.'!A959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06" s="19" t="s">
        <v>68</v>
      </c>
      <c r="C306" s="19" t="s">
        <v>66</v>
      </c>
      <c r="D306" s="102" t="str">
        <f>'пр.4 вед.стр.'!E959</f>
        <v xml:space="preserve">7К 0 00 00000 </v>
      </c>
      <c r="E306" s="97"/>
      <c r="F306" s="59">
        <f>F307</f>
        <v>55</v>
      </c>
      <c r="G306" s="59">
        <f t="shared" ref="G306:H309" si="142">G307</f>
        <v>55</v>
      </c>
      <c r="H306" s="59">
        <f t="shared" si="142"/>
        <v>0</v>
      </c>
      <c r="I306" s="190">
        <f t="shared" si="123"/>
        <v>100</v>
      </c>
    </row>
    <row r="307" spans="1:9" ht="38.25">
      <c r="A307" s="29" t="str">
        <f>'пр.4 вед.стр.'!A960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07" s="19" t="s">
        <v>68</v>
      </c>
      <c r="C307" s="19" t="s">
        <v>66</v>
      </c>
      <c r="D307" s="102" t="str">
        <f>'пр.4 вед.стр.'!E960</f>
        <v xml:space="preserve">7К 0 01 00000 </v>
      </c>
      <c r="E307" s="97"/>
      <c r="F307" s="59">
        <f>F308</f>
        <v>55</v>
      </c>
      <c r="G307" s="59">
        <f t="shared" si="142"/>
        <v>55</v>
      </c>
      <c r="H307" s="59">
        <f t="shared" si="142"/>
        <v>0</v>
      </c>
      <c r="I307" s="190">
        <f t="shared" si="123"/>
        <v>100</v>
      </c>
    </row>
    <row r="308" spans="1:9" ht="38.25">
      <c r="A308" s="29" t="str">
        <f>'пр.4 вед.стр.'!A961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308" s="19" t="s">
        <v>68</v>
      </c>
      <c r="C308" s="19" t="s">
        <v>66</v>
      </c>
      <c r="D308" s="102" t="str">
        <f>'пр.4 вед.стр.'!E961</f>
        <v>7К 0 01 L5550</v>
      </c>
      <c r="E308" s="97"/>
      <c r="F308" s="59">
        <f>F309</f>
        <v>55</v>
      </c>
      <c r="G308" s="59">
        <f t="shared" si="142"/>
        <v>55</v>
      </c>
      <c r="H308" s="59">
        <f t="shared" si="142"/>
        <v>0</v>
      </c>
      <c r="I308" s="190">
        <f t="shared" si="123"/>
        <v>100</v>
      </c>
    </row>
    <row r="309" spans="1:9" ht="25.5">
      <c r="A309" s="29" t="str">
        <f>'пр.4 вед.стр.'!A962</f>
        <v>Закупка товаров, работ и услуг для обеспечения государственных (муниципальных) нужд</v>
      </c>
      <c r="B309" s="19" t="s">
        <v>68</v>
      </c>
      <c r="C309" s="19" t="s">
        <v>66</v>
      </c>
      <c r="D309" s="102" t="str">
        <f>'пр.4 вед.стр.'!E962</f>
        <v>7К 0 01 L5550</v>
      </c>
      <c r="E309" s="97" t="str">
        <f>'пр.4 вед.стр.'!F962</f>
        <v>200</v>
      </c>
      <c r="F309" s="59">
        <f>F310</f>
        <v>55</v>
      </c>
      <c r="G309" s="59">
        <f t="shared" si="142"/>
        <v>55</v>
      </c>
      <c r="H309" s="59">
        <f t="shared" si="142"/>
        <v>0</v>
      </c>
      <c r="I309" s="190">
        <f t="shared" si="123"/>
        <v>100</v>
      </c>
    </row>
    <row r="310" spans="1:9" ht="25.5">
      <c r="A310" s="16" t="s">
        <v>556</v>
      </c>
      <c r="B310" s="19" t="s">
        <v>68</v>
      </c>
      <c r="C310" s="19" t="s">
        <v>66</v>
      </c>
      <c r="D310" s="102" t="str">
        <f>'пр.4 вед.стр.'!E963</f>
        <v>7К 0 01 L5550</v>
      </c>
      <c r="E310" s="97" t="str">
        <f>'пр.4 вед.стр.'!F963</f>
        <v>240</v>
      </c>
      <c r="F310" s="59">
        <f>'пр.4 вед.стр.'!G963</f>
        <v>55</v>
      </c>
      <c r="G310" s="59">
        <f>'пр.4 вед.стр.'!H963</f>
        <v>55</v>
      </c>
      <c r="H310" s="59">
        <f>'пр.4 вед.стр.'!I963</f>
        <v>0</v>
      </c>
      <c r="I310" s="190">
        <f t="shared" si="123"/>
        <v>100</v>
      </c>
    </row>
    <row r="311" spans="1:9" ht="25.5">
      <c r="A311" s="16" t="str">
        <f>'пр.4 вед.стр.'!A964</f>
        <v>Муниципальная программа "Благоустройство Сусуманского городского округа на 2018- 2022 годы"</v>
      </c>
      <c r="B311" s="19" t="s">
        <v>68</v>
      </c>
      <c r="C311" s="19" t="s">
        <v>66</v>
      </c>
      <c r="D311" s="102" t="str">
        <f>'пр.4 вед.стр.'!E964</f>
        <v>7Z 0 00 00000</v>
      </c>
      <c r="E311" s="97"/>
      <c r="F311" s="59">
        <f>F312</f>
        <v>142</v>
      </c>
      <c r="G311" s="59">
        <f t="shared" ref="G311:H314" si="143">G312</f>
        <v>142</v>
      </c>
      <c r="H311" s="59">
        <f t="shared" si="143"/>
        <v>0</v>
      </c>
      <c r="I311" s="190">
        <f t="shared" si="123"/>
        <v>100</v>
      </c>
    </row>
    <row r="312" spans="1:9">
      <c r="A312" s="29" t="str">
        <f>'пр.4 вед.стр.'!A965</f>
        <v>Основное мероприятие "Обеспечение реализации программы"</v>
      </c>
      <c r="B312" s="19" t="s">
        <v>68</v>
      </c>
      <c r="C312" s="19" t="s">
        <v>66</v>
      </c>
      <c r="D312" s="102" t="str">
        <f>'пр.4 вед.стр.'!E965</f>
        <v>7Z 0 01 00000</v>
      </c>
      <c r="E312" s="97"/>
      <c r="F312" s="59">
        <f>F313</f>
        <v>142</v>
      </c>
      <c r="G312" s="59">
        <f t="shared" si="143"/>
        <v>142</v>
      </c>
      <c r="H312" s="59">
        <f t="shared" si="143"/>
        <v>0</v>
      </c>
      <c r="I312" s="190">
        <f t="shared" si="123"/>
        <v>100</v>
      </c>
    </row>
    <row r="313" spans="1:9" ht="25.5">
      <c r="A313" s="29" t="str">
        <f>'пр.4 вед.стр.'!A966</f>
        <v>Мероприятия по благоустройству территории Сусуманского городского округа</v>
      </c>
      <c r="B313" s="19" t="s">
        <v>68</v>
      </c>
      <c r="C313" s="19" t="s">
        <v>66</v>
      </c>
      <c r="D313" s="102" t="str">
        <f>'пр.4 вед.стр.'!E966</f>
        <v>7Z 0 01 92010</v>
      </c>
      <c r="E313" s="97"/>
      <c r="F313" s="59">
        <f>F314</f>
        <v>142</v>
      </c>
      <c r="G313" s="59">
        <f t="shared" si="143"/>
        <v>142</v>
      </c>
      <c r="H313" s="59">
        <f t="shared" si="143"/>
        <v>0</v>
      </c>
      <c r="I313" s="190">
        <f t="shared" si="123"/>
        <v>100</v>
      </c>
    </row>
    <row r="314" spans="1:9" ht="25.5">
      <c r="A314" s="29" t="str">
        <f>'пр.4 вед.стр.'!A967</f>
        <v>Закупка товаров, работ и услуг для обеспечения государственных (муниципальных) нужд</v>
      </c>
      <c r="B314" s="19" t="s">
        <v>68</v>
      </c>
      <c r="C314" s="19" t="s">
        <v>66</v>
      </c>
      <c r="D314" s="102" t="str">
        <f>'пр.4 вед.стр.'!E967</f>
        <v>7Z 0 01 92010</v>
      </c>
      <c r="E314" s="97" t="str">
        <f>'пр.4 вед.стр.'!F967</f>
        <v>200</v>
      </c>
      <c r="F314" s="59">
        <f>F315</f>
        <v>142</v>
      </c>
      <c r="G314" s="59">
        <f t="shared" si="143"/>
        <v>142</v>
      </c>
      <c r="H314" s="59">
        <f t="shared" si="143"/>
        <v>0</v>
      </c>
      <c r="I314" s="190">
        <f t="shared" si="123"/>
        <v>100</v>
      </c>
    </row>
    <row r="315" spans="1:9" ht="25.5">
      <c r="A315" s="16" t="s">
        <v>556</v>
      </c>
      <c r="B315" s="19" t="s">
        <v>68</v>
      </c>
      <c r="C315" s="19" t="s">
        <v>66</v>
      </c>
      <c r="D315" s="102" t="str">
        <f>'пр.4 вед.стр.'!E968</f>
        <v>7Z 0 01 92010</v>
      </c>
      <c r="E315" s="97" t="str">
        <f>'пр.4 вед.стр.'!F968</f>
        <v>240</v>
      </c>
      <c r="F315" s="59">
        <f>'пр.4 вед.стр.'!G968</f>
        <v>142</v>
      </c>
      <c r="G315" s="59">
        <f>'пр.4 вед.стр.'!H968</f>
        <v>142</v>
      </c>
      <c r="H315" s="59">
        <f>'пр.4 вед.стр.'!I968</f>
        <v>0</v>
      </c>
      <c r="I315" s="190">
        <f t="shared" si="123"/>
        <v>100</v>
      </c>
    </row>
    <row r="316" spans="1:9">
      <c r="A316" s="29" t="s">
        <v>516</v>
      </c>
      <c r="B316" s="19" t="s">
        <v>68</v>
      </c>
      <c r="C316" s="19" t="s">
        <v>66</v>
      </c>
      <c r="D316" s="97" t="s">
        <v>517</v>
      </c>
      <c r="E316" s="97"/>
      <c r="F316" s="59">
        <f>F317+F320</f>
        <v>3154.7</v>
      </c>
      <c r="G316" s="59">
        <f t="shared" ref="G316:H316" si="144">G317+G320</f>
        <v>3154.7</v>
      </c>
      <c r="H316" s="59">
        <f t="shared" si="144"/>
        <v>0</v>
      </c>
      <c r="I316" s="190">
        <f t="shared" si="123"/>
        <v>100</v>
      </c>
    </row>
    <row r="317" spans="1:9">
      <c r="A317" s="16" t="str">
        <f>'пр.4 вед.стр.'!A970</f>
        <v xml:space="preserve"> Уличное освещение</v>
      </c>
      <c r="B317" s="19" t="s">
        <v>68</v>
      </c>
      <c r="C317" s="19" t="s">
        <v>66</v>
      </c>
      <c r="D317" s="97" t="s">
        <v>526</v>
      </c>
      <c r="E317" s="97"/>
      <c r="F317" s="59">
        <f>F318</f>
        <v>2983.2</v>
      </c>
      <c r="G317" s="59">
        <f t="shared" ref="G317:H318" si="145">G318</f>
        <v>2983.2</v>
      </c>
      <c r="H317" s="59">
        <f t="shared" si="145"/>
        <v>0</v>
      </c>
      <c r="I317" s="190">
        <f t="shared" si="123"/>
        <v>100</v>
      </c>
    </row>
    <row r="318" spans="1:9" ht="25.5">
      <c r="A318" s="16" t="s">
        <v>331</v>
      </c>
      <c r="B318" s="19" t="s">
        <v>68</v>
      </c>
      <c r="C318" s="19" t="s">
        <v>66</v>
      </c>
      <c r="D318" s="97" t="s">
        <v>526</v>
      </c>
      <c r="E318" s="97" t="s">
        <v>92</v>
      </c>
      <c r="F318" s="59">
        <f>F319</f>
        <v>2983.2</v>
      </c>
      <c r="G318" s="59">
        <f t="shared" si="145"/>
        <v>2983.2</v>
      </c>
      <c r="H318" s="59">
        <f t="shared" si="145"/>
        <v>0</v>
      </c>
      <c r="I318" s="190">
        <f t="shared" si="123"/>
        <v>100</v>
      </c>
    </row>
    <row r="319" spans="1:9" ht="25.5">
      <c r="A319" s="16" t="s">
        <v>556</v>
      </c>
      <c r="B319" s="19" t="s">
        <v>68</v>
      </c>
      <c r="C319" s="19" t="s">
        <v>66</v>
      </c>
      <c r="D319" s="97" t="s">
        <v>526</v>
      </c>
      <c r="E319" s="97" t="s">
        <v>89</v>
      </c>
      <c r="F319" s="59">
        <f>'пр.4 вед.стр.'!G972</f>
        <v>2983.2</v>
      </c>
      <c r="G319" s="59">
        <f>'пр.4 вед.стр.'!H972</f>
        <v>2983.2</v>
      </c>
      <c r="H319" s="59">
        <f>'пр.4 вед.стр.'!I972</f>
        <v>0</v>
      </c>
      <c r="I319" s="190">
        <f t="shared" si="123"/>
        <v>100</v>
      </c>
    </row>
    <row r="320" spans="1:9">
      <c r="A320" s="16" t="str">
        <f>'пр.4 вед.стр.'!A973</f>
        <v>Прочие мероприятия по благоустройству</v>
      </c>
      <c r="B320" s="19" t="s">
        <v>68</v>
      </c>
      <c r="C320" s="19" t="s">
        <v>66</v>
      </c>
      <c r="D320" s="97" t="s">
        <v>574</v>
      </c>
      <c r="E320" s="97"/>
      <c r="F320" s="59">
        <f>F321</f>
        <v>171.5</v>
      </c>
      <c r="G320" s="59">
        <f t="shared" ref="G320:H321" si="146">G321</f>
        <v>171.5</v>
      </c>
      <c r="H320" s="59">
        <f t="shared" si="146"/>
        <v>0</v>
      </c>
      <c r="I320" s="190">
        <f t="shared" si="123"/>
        <v>100</v>
      </c>
    </row>
    <row r="321" spans="1:9" ht="25.5">
      <c r="A321" s="16" t="str">
        <f>'пр.4 вед.стр.'!A974</f>
        <v>Закупка товаров, работ и услуг для обеспечения государственных (муниципальных) нужд</v>
      </c>
      <c r="B321" s="19" t="s">
        <v>68</v>
      </c>
      <c r="C321" s="19" t="s">
        <v>66</v>
      </c>
      <c r="D321" s="97" t="s">
        <v>574</v>
      </c>
      <c r="E321" s="97" t="s">
        <v>92</v>
      </c>
      <c r="F321" s="59">
        <f>F322</f>
        <v>171.5</v>
      </c>
      <c r="G321" s="59">
        <f t="shared" si="146"/>
        <v>171.5</v>
      </c>
      <c r="H321" s="59">
        <f t="shared" si="146"/>
        <v>0</v>
      </c>
      <c r="I321" s="190">
        <f t="shared" si="123"/>
        <v>100</v>
      </c>
    </row>
    <row r="322" spans="1:9" ht="25.5">
      <c r="A322" s="16" t="s">
        <v>556</v>
      </c>
      <c r="B322" s="19" t="s">
        <v>68</v>
      </c>
      <c r="C322" s="19" t="s">
        <v>66</v>
      </c>
      <c r="D322" s="97" t="s">
        <v>574</v>
      </c>
      <c r="E322" s="97" t="s">
        <v>89</v>
      </c>
      <c r="F322" s="59">
        <f>'пр.4 вед.стр.'!G975</f>
        <v>171.5</v>
      </c>
      <c r="G322" s="59">
        <f>'пр.4 вед.стр.'!H975</f>
        <v>171.5</v>
      </c>
      <c r="H322" s="59">
        <f>'пр.4 вед.стр.'!I975</f>
        <v>0</v>
      </c>
      <c r="I322" s="190">
        <f t="shared" si="123"/>
        <v>100</v>
      </c>
    </row>
    <row r="323" spans="1:9">
      <c r="A323" s="28" t="s">
        <v>518</v>
      </c>
      <c r="B323" s="19" t="s">
        <v>68</v>
      </c>
      <c r="C323" s="19" t="s">
        <v>66</v>
      </c>
      <c r="D323" s="97" t="s">
        <v>519</v>
      </c>
      <c r="E323" s="97"/>
      <c r="F323" s="59">
        <f>F324+F327</f>
        <v>641.9</v>
      </c>
      <c r="G323" s="59">
        <f t="shared" ref="G323:H323" si="147">G324+G327</f>
        <v>641.9</v>
      </c>
      <c r="H323" s="59">
        <f t="shared" si="147"/>
        <v>0</v>
      </c>
      <c r="I323" s="190">
        <f t="shared" si="123"/>
        <v>100</v>
      </c>
    </row>
    <row r="324" spans="1:9">
      <c r="A324" s="29" t="s">
        <v>201</v>
      </c>
      <c r="B324" s="19" t="s">
        <v>68</v>
      </c>
      <c r="C324" s="19" t="s">
        <v>66</v>
      </c>
      <c r="D324" s="97" t="s">
        <v>520</v>
      </c>
      <c r="E324" s="97"/>
      <c r="F324" s="59">
        <f>F325</f>
        <v>150</v>
      </c>
      <c r="G324" s="59">
        <f t="shared" ref="G324:H325" si="148">G325</f>
        <v>150</v>
      </c>
      <c r="H324" s="59">
        <f t="shared" si="148"/>
        <v>0</v>
      </c>
      <c r="I324" s="190">
        <f t="shared" si="123"/>
        <v>100</v>
      </c>
    </row>
    <row r="325" spans="1:9" ht="25.5">
      <c r="A325" s="16" t="s">
        <v>331</v>
      </c>
      <c r="B325" s="19" t="s">
        <v>68</v>
      </c>
      <c r="C325" s="19" t="s">
        <v>66</v>
      </c>
      <c r="D325" s="97" t="s">
        <v>520</v>
      </c>
      <c r="E325" s="97" t="s">
        <v>92</v>
      </c>
      <c r="F325" s="59">
        <f>F326</f>
        <v>150</v>
      </c>
      <c r="G325" s="59">
        <f t="shared" si="148"/>
        <v>150</v>
      </c>
      <c r="H325" s="59">
        <f t="shared" si="148"/>
        <v>0</v>
      </c>
      <c r="I325" s="190">
        <f t="shared" si="123"/>
        <v>100</v>
      </c>
    </row>
    <row r="326" spans="1:9" ht="25.5">
      <c r="A326" s="16" t="s">
        <v>556</v>
      </c>
      <c r="B326" s="19" t="s">
        <v>68</v>
      </c>
      <c r="C326" s="19" t="s">
        <v>66</v>
      </c>
      <c r="D326" s="97" t="s">
        <v>520</v>
      </c>
      <c r="E326" s="97" t="s">
        <v>89</v>
      </c>
      <c r="F326" s="59">
        <f>'пр.4 вед.стр.'!G979</f>
        <v>150</v>
      </c>
      <c r="G326" s="59">
        <f>'пр.4 вед.стр.'!H979</f>
        <v>150</v>
      </c>
      <c r="H326" s="59">
        <f>'пр.4 вед.стр.'!I979</f>
        <v>0</v>
      </c>
      <c r="I326" s="190">
        <f t="shared" si="123"/>
        <v>100</v>
      </c>
    </row>
    <row r="327" spans="1:9" ht="25.5">
      <c r="A327" s="16" t="s">
        <v>658</v>
      </c>
      <c r="B327" s="19" t="s">
        <v>68</v>
      </c>
      <c r="C327" s="19" t="s">
        <v>66</v>
      </c>
      <c r="D327" s="97" t="s">
        <v>521</v>
      </c>
      <c r="E327" s="97"/>
      <c r="F327" s="59">
        <f>F328</f>
        <v>491.9</v>
      </c>
      <c r="G327" s="59">
        <f t="shared" ref="G327:H328" si="149">G328</f>
        <v>491.9</v>
      </c>
      <c r="H327" s="59">
        <f t="shared" si="149"/>
        <v>0</v>
      </c>
      <c r="I327" s="190">
        <f t="shared" si="123"/>
        <v>100</v>
      </c>
    </row>
    <row r="328" spans="1:9" ht="25.5">
      <c r="A328" s="16" t="s">
        <v>331</v>
      </c>
      <c r="B328" s="19" t="s">
        <v>68</v>
      </c>
      <c r="C328" s="19" t="s">
        <v>66</v>
      </c>
      <c r="D328" s="97" t="s">
        <v>521</v>
      </c>
      <c r="E328" s="121">
        <v>200</v>
      </c>
      <c r="F328" s="59">
        <f>F329</f>
        <v>491.9</v>
      </c>
      <c r="G328" s="59">
        <f t="shared" si="149"/>
        <v>491.9</v>
      </c>
      <c r="H328" s="59">
        <f t="shared" si="149"/>
        <v>0</v>
      </c>
      <c r="I328" s="190">
        <f t="shared" si="123"/>
        <v>100</v>
      </c>
    </row>
    <row r="329" spans="1:9" ht="25.5">
      <c r="A329" s="16" t="s">
        <v>556</v>
      </c>
      <c r="B329" s="19" t="s">
        <v>68</v>
      </c>
      <c r="C329" s="19" t="s">
        <v>66</v>
      </c>
      <c r="D329" s="97" t="s">
        <v>521</v>
      </c>
      <c r="E329" s="121">
        <v>240</v>
      </c>
      <c r="F329" s="59">
        <f>'пр.4 вед.стр.'!G982</f>
        <v>491.9</v>
      </c>
      <c r="G329" s="59">
        <f>'пр.4 вед.стр.'!H982</f>
        <v>491.9</v>
      </c>
      <c r="H329" s="59">
        <f>'пр.4 вед.стр.'!I982</f>
        <v>0</v>
      </c>
      <c r="I329" s="190">
        <f t="shared" si="123"/>
        <v>100</v>
      </c>
    </row>
    <row r="330" spans="1:9" ht="38.25">
      <c r="A330" s="16" t="str">
        <f>'пр.4 вед.стр.'!A983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30" s="19" t="s">
        <v>68</v>
      </c>
      <c r="C330" s="19" t="s">
        <v>66</v>
      </c>
      <c r="D330" s="97" t="str">
        <f>'пр.4 вед.стр.'!E983</f>
        <v>Р1 0 00 00000</v>
      </c>
      <c r="E330" s="97"/>
      <c r="F330" s="59">
        <f>F331+F335</f>
        <v>1075.0999999999999</v>
      </c>
      <c r="G330" s="59">
        <f t="shared" ref="G330:H330" si="150">G331+G335</f>
        <v>0</v>
      </c>
      <c r="H330" s="59">
        <f t="shared" si="150"/>
        <v>1075.0999999999999</v>
      </c>
      <c r="I330" s="190">
        <f t="shared" ref="I330:I393" si="151">G330/F330*100</f>
        <v>0</v>
      </c>
    </row>
    <row r="331" spans="1:9" ht="25.5">
      <c r="A331" s="16" t="str">
        <f>'пр.4 вед.стр.'!A984</f>
        <v xml:space="preserve">Обеспечение государственных полномочий по отлову и содержанию безнадзорных животных </v>
      </c>
      <c r="B331" s="19" t="s">
        <v>68</v>
      </c>
      <c r="C331" s="19" t="s">
        <v>66</v>
      </c>
      <c r="D331" s="97" t="str">
        <f>'пр.4 вед.стр.'!E984</f>
        <v>Р1 7 00 00000</v>
      </c>
      <c r="E331" s="97"/>
      <c r="F331" s="59">
        <f>F332</f>
        <v>244</v>
      </c>
      <c r="G331" s="59">
        <f t="shared" ref="G331:H333" si="152">G332</f>
        <v>0</v>
      </c>
      <c r="H331" s="59">
        <f t="shared" si="152"/>
        <v>244</v>
      </c>
      <c r="I331" s="190">
        <f t="shared" si="151"/>
        <v>0</v>
      </c>
    </row>
    <row r="332" spans="1:9" ht="25.5">
      <c r="A332" s="16" t="str">
        <f>'пр.4 вед.стр.'!A985</f>
        <v xml:space="preserve">Осуществление государственных полномочий по отлову и содержанию безнадзорных животных </v>
      </c>
      <c r="B332" s="19" t="s">
        <v>68</v>
      </c>
      <c r="C332" s="19" t="s">
        <v>66</v>
      </c>
      <c r="D332" s="97" t="str">
        <f>'пр.4 вед.стр.'!E985</f>
        <v>Р1 7 00 74170</v>
      </c>
      <c r="E332" s="97"/>
      <c r="F332" s="59">
        <f>F333</f>
        <v>244</v>
      </c>
      <c r="G332" s="59">
        <f t="shared" si="152"/>
        <v>0</v>
      </c>
      <c r="H332" s="59">
        <f t="shared" si="152"/>
        <v>244</v>
      </c>
      <c r="I332" s="190">
        <f t="shared" si="151"/>
        <v>0</v>
      </c>
    </row>
    <row r="333" spans="1:9" ht="25.5">
      <c r="A333" s="16" t="str">
        <f>'пр.4 вед.стр.'!A986</f>
        <v>Закупка товаров, работ и услуг для обеспечения государственных (муниципальных) нужд</v>
      </c>
      <c r="B333" s="19" t="s">
        <v>68</v>
      </c>
      <c r="C333" s="19" t="s">
        <v>66</v>
      </c>
      <c r="D333" s="97" t="str">
        <f>'пр.4 вед.стр.'!E986</f>
        <v>Р1 7 00 74170</v>
      </c>
      <c r="E333" s="97" t="str">
        <f>'пр.4 вед.стр.'!F986</f>
        <v>200</v>
      </c>
      <c r="F333" s="59">
        <f>F334</f>
        <v>244</v>
      </c>
      <c r="G333" s="59">
        <f t="shared" si="152"/>
        <v>0</v>
      </c>
      <c r="H333" s="59">
        <f t="shared" si="152"/>
        <v>244</v>
      </c>
      <c r="I333" s="190">
        <f t="shared" si="151"/>
        <v>0</v>
      </c>
    </row>
    <row r="334" spans="1:9" ht="25.5">
      <c r="A334" s="16" t="s">
        <v>556</v>
      </c>
      <c r="B334" s="19" t="s">
        <v>68</v>
      </c>
      <c r="C334" s="19" t="s">
        <v>66</v>
      </c>
      <c r="D334" s="97" t="str">
        <f>'пр.4 вед.стр.'!E987</f>
        <v>Р1 7 00 74170</v>
      </c>
      <c r="E334" s="97" t="str">
        <f>'пр.4 вед.стр.'!F987</f>
        <v>240</v>
      </c>
      <c r="F334" s="59">
        <f>'пр.4 вед.стр.'!G987</f>
        <v>244</v>
      </c>
      <c r="G334" s="59">
        <f>'пр.4 вед.стр.'!H987</f>
        <v>0</v>
      </c>
      <c r="H334" s="59">
        <f>'пр.4 вед.стр.'!I987</f>
        <v>244</v>
      </c>
      <c r="I334" s="190">
        <f t="shared" si="151"/>
        <v>0</v>
      </c>
    </row>
    <row r="335" spans="1:9" ht="38.25">
      <c r="A335" s="16" t="str">
        <f>'пр.4 вед.стр.'!A988</f>
        <v>Обеспечение государственных полномочий по организации мероприятий при осуществлении деятельности по обращению с животными без владельцев в 2019 году</v>
      </c>
      <c r="B335" s="19" t="s">
        <v>68</v>
      </c>
      <c r="C335" s="19" t="s">
        <v>66</v>
      </c>
      <c r="D335" s="97" t="str">
        <f>'пр.4 вед.стр.'!E988</f>
        <v>Р1 8 00 00000</v>
      </c>
      <c r="E335" s="97"/>
      <c r="F335" s="59">
        <f>F336</f>
        <v>831.09999999999991</v>
      </c>
      <c r="G335" s="59">
        <f t="shared" ref="G335:H337" si="153">G336</f>
        <v>0</v>
      </c>
      <c r="H335" s="59">
        <f t="shared" si="153"/>
        <v>831.09999999999991</v>
      </c>
      <c r="I335" s="190">
        <f t="shared" si="151"/>
        <v>0</v>
      </c>
    </row>
    <row r="336" spans="1:9" ht="38.25">
      <c r="A336" s="16" t="str">
        <f>'пр.4 вед.стр.'!A989</f>
        <v>Осуществление государственных полномочий по организации мероприятий при осуществлении деятельности по обращению с животными без владельцев</v>
      </c>
      <c r="B336" s="19" t="s">
        <v>68</v>
      </c>
      <c r="C336" s="19" t="s">
        <v>66</v>
      </c>
      <c r="D336" s="97" t="str">
        <f>'пр.4 вед.стр.'!E989</f>
        <v>Р1 8 00 74190</v>
      </c>
      <c r="E336" s="97"/>
      <c r="F336" s="59">
        <f>F337</f>
        <v>831.09999999999991</v>
      </c>
      <c r="G336" s="59">
        <f t="shared" si="153"/>
        <v>0</v>
      </c>
      <c r="H336" s="59">
        <f t="shared" si="153"/>
        <v>831.09999999999991</v>
      </c>
      <c r="I336" s="190">
        <f t="shared" si="151"/>
        <v>0</v>
      </c>
    </row>
    <row r="337" spans="1:9" ht="25.5">
      <c r="A337" s="16" t="str">
        <f>'пр.4 вед.стр.'!A990</f>
        <v>Закупка товаров, работ и услуг для обеспечения государственных (муниципальных) нужд</v>
      </c>
      <c r="B337" s="19" t="s">
        <v>68</v>
      </c>
      <c r="C337" s="19" t="s">
        <v>66</v>
      </c>
      <c r="D337" s="97" t="str">
        <f>'пр.4 вед.стр.'!E990</f>
        <v>Р1 8 00 74190</v>
      </c>
      <c r="E337" s="97" t="str">
        <f>'пр.4 вед.стр.'!F990</f>
        <v>200</v>
      </c>
      <c r="F337" s="59">
        <f>F338</f>
        <v>831.09999999999991</v>
      </c>
      <c r="G337" s="59">
        <f t="shared" si="153"/>
        <v>0</v>
      </c>
      <c r="H337" s="59">
        <f t="shared" si="153"/>
        <v>831.09999999999991</v>
      </c>
      <c r="I337" s="190">
        <f t="shared" si="151"/>
        <v>0</v>
      </c>
    </row>
    <row r="338" spans="1:9" ht="25.5">
      <c r="A338" s="16" t="s">
        <v>556</v>
      </c>
      <c r="B338" s="19" t="s">
        <v>68</v>
      </c>
      <c r="C338" s="19" t="s">
        <v>66</v>
      </c>
      <c r="D338" s="97" t="str">
        <f>'пр.4 вед.стр.'!E991</f>
        <v>Р1 8 00 74190</v>
      </c>
      <c r="E338" s="97" t="str">
        <f>'пр.4 вед.стр.'!F991</f>
        <v>240</v>
      </c>
      <c r="F338" s="59">
        <f>'пр.4 вед.стр.'!G991</f>
        <v>831.09999999999991</v>
      </c>
      <c r="G338" s="59">
        <f>'пр.4 вед.стр.'!H991</f>
        <v>0</v>
      </c>
      <c r="H338" s="59">
        <f>'пр.4 вед.стр.'!I991</f>
        <v>831.09999999999991</v>
      </c>
      <c r="I338" s="190">
        <f t="shared" si="151"/>
        <v>0</v>
      </c>
    </row>
    <row r="339" spans="1:9">
      <c r="A339" s="15" t="s">
        <v>351</v>
      </c>
      <c r="B339" s="35" t="s">
        <v>72</v>
      </c>
      <c r="C339" s="35" t="s">
        <v>33</v>
      </c>
      <c r="D339" s="100"/>
      <c r="E339" s="100"/>
      <c r="F339" s="143">
        <f>F340</f>
        <v>235</v>
      </c>
      <c r="G339" s="143">
        <f t="shared" ref="G339:H339" si="154">G340</f>
        <v>85</v>
      </c>
      <c r="H339" s="143">
        <f t="shared" si="154"/>
        <v>150</v>
      </c>
      <c r="I339" s="190">
        <f t="shared" si="151"/>
        <v>36.170212765957451</v>
      </c>
    </row>
    <row r="340" spans="1:9">
      <c r="A340" s="15" t="s">
        <v>292</v>
      </c>
      <c r="B340" s="35" t="s">
        <v>72</v>
      </c>
      <c r="C340" s="35" t="s">
        <v>68</v>
      </c>
      <c r="D340" s="100"/>
      <c r="E340" s="100"/>
      <c r="F340" s="143">
        <f>F342+F350</f>
        <v>235</v>
      </c>
      <c r="G340" s="143">
        <f t="shared" ref="G340:H340" si="155">G342+G350</f>
        <v>85</v>
      </c>
      <c r="H340" s="143">
        <f t="shared" si="155"/>
        <v>150</v>
      </c>
      <c r="I340" s="190">
        <f t="shared" si="151"/>
        <v>36.170212765957451</v>
      </c>
    </row>
    <row r="341" spans="1:9">
      <c r="A341" s="16" t="s">
        <v>430</v>
      </c>
      <c r="B341" s="19" t="s">
        <v>72</v>
      </c>
      <c r="C341" s="19" t="s">
        <v>68</v>
      </c>
      <c r="D341" s="102" t="s">
        <v>500</v>
      </c>
      <c r="E341" s="100"/>
      <c r="F341" s="59">
        <f>F342</f>
        <v>150</v>
      </c>
      <c r="G341" s="59">
        <f t="shared" ref="G341:H342" si="156">G342</f>
        <v>0</v>
      </c>
      <c r="H341" s="59">
        <f t="shared" si="156"/>
        <v>150</v>
      </c>
      <c r="I341" s="190">
        <f t="shared" si="151"/>
        <v>0</v>
      </c>
    </row>
    <row r="342" spans="1:9" ht="38.25">
      <c r="A342" s="16" t="str">
        <f>'пр.4 вед.стр.'!A995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v>
      </c>
      <c r="B342" s="19" t="s">
        <v>72</v>
      </c>
      <c r="C342" s="19" t="s">
        <v>68</v>
      </c>
      <c r="D342" s="97" t="str">
        <f>'пр.4 вед.стр.'!E995</f>
        <v>7W 0 00 00000</v>
      </c>
      <c r="E342" s="97"/>
      <c r="F342" s="59">
        <f>F343</f>
        <v>150</v>
      </c>
      <c r="G342" s="59">
        <f t="shared" si="156"/>
        <v>0</v>
      </c>
      <c r="H342" s="59">
        <f t="shared" si="156"/>
        <v>150</v>
      </c>
      <c r="I342" s="190">
        <f t="shared" si="151"/>
        <v>0</v>
      </c>
    </row>
    <row r="343" spans="1:9" ht="38.25">
      <c r="A343" s="16" t="str">
        <f>'пр.4 вед.стр.'!A996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343" s="19" t="s">
        <v>72</v>
      </c>
      <c r="C343" s="19" t="s">
        <v>68</v>
      </c>
      <c r="D343" s="97" t="str">
        <f>'пр.4 вед.стр.'!E996</f>
        <v>7W 0 02 00000</v>
      </c>
      <c r="E343" s="97"/>
      <c r="F343" s="59">
        <f>F344+F347</f>
        <v>150</v>
      </c>
      <c r="G343" s="59">
        <f t="shared" ref="G343:H343" si="157">G344+G347</f>
        <v>0</v>
      </c>
      <c r="H343" s="59">
        <f t="shared" si="157"/>
        <v>150</v>
      </c>
      <c r="I343" s="190">
        <f t="shared" si="151"/>
        <v>0</v>
      </c>
    </row>
    <row r="344" spans="1:9" ht="38.25">
      <c r="A344" s="16" t="str">
        <f>'пр.4 вед.стр.'!A997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344" s="19" t="s">
        <v>72</v>
      </c>
      <c r="C344" s="19" t="s">
        <v>68</v>
      </c>
      <c r="D344" s="97" t="str">
        <f>'пр.4 вед.стр.'!E997</f>
        <v>7W 0 02 73710</v>
      </c>
      <c r="E344" s="97"/>
      <c r="F344" s="59">
        <f>F345</f>
        <v>142.5</v>
      </c>
      <c r="G344" s="59">
        <f t="shared" ref="G344:H345" si="158">G345</f>
        <v>0</v>
      </c>
      <c r="H344" s="59">
        <f t="shared" si="158"/>
        <v>142.5</v>
      </c>
      <c r="I344" s="190">
        <f t="shared" si="151"/>
        <v>0</v>
      </c>
    </row>
    <row r="345" spans="1:9" ht="25.5">
      <c r="A345" s="16" t="str">
        <f>'пр.4 вед.стр.'!A998</f>
        <v>Закупка товаров, работ и услуг для обеспечения государственных (муниципальных) нужд</v>
      </c>
      <c r="B345" s="19" t="s">
        <v>72</v>
      </c>
      <c r="C345" s="19" t="s">
        <v>68</v>
      </c>
      <c r="D345" s="97" t="str">
        <f>'пр.4 вед.стр.'!E998</f>
        <v>7W 0 02 73710</v>
      </c>
      <c r="E345" s="97" t="str">
        <f>'пр.4 вед.стр.'!F998</f>
        <v>200</v>
      </c>
      <c r="F345" s="59">
        <f>F346</f>
        <v>142.5</v>
      </c>
      <c r="G345" s="59">
        <f t="shared" si="158"/>
        <v>0</v>
      </c>
      <c r="H345" s="59">
        <f t="shared" si="158"/>
        <v>142.5</v>
      </c>
      <c r="I345" s="190">
        <f t="shared" si="151"/>
        <v>0</v>
      </c>
    </row>
    <row r="346" spans="1:9" ht="25.5">
      <c r="A346" s="16" t="str">
        <f>'пр.4 вед.стр.'!A999</f>
        <v>Иные закупки товаров, работ и услуг для обеспечения государственных ( муниципальных ) нужд</v>
      </c>
      <c r="B346" s="19" t="s">
        <v>72</v>
      </c>
      <c r="C346" s="19" t="s">
        <v>68</v>
      </c>
      <c r="D346" s="97" t="str">
        <f>'пр.4 вед.стр.'!E999</f>
        <v>7W 0 02 73710</v>
      </c>
      <c r="E346" s="97" t="str">
        <f>'пр.4 вед.стр.'!F999</f>
        <v>240</v>
      </c>
      <c r="F346" s="59">
        <f>'пр.4 вед.стр.'!G999</f>
        <v>142.5</v>
      </c>
      <c r="G346" s="59">
        <f>'пр.4 вед.стр.'!H999</f>
        <v>0</v>
      </c>
      <c r="H346" s="59">
        <f>'пр.4 вед.стр.'!I999</f>
        <v>142.5</v>
      </c>
      <c r="I346" s="190">
        <f t="shared" si="151"/>
        <v>0</v>
      </c>
    </row>
    <row r="347" spans="1:9" ht="28.15" customHeight="1">
      <c r="A347" s="16" t="str">
        <f>'пр.4 вед.стр.'!A1000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347" s="19" t="s">
        <v>72</v>
      </c>
      <c r="C347" s="19" t="s">
        <v>68</v>
      </c>
      <c r="D347" s="97" t="str">
        <f>'пр.4 вед.стр.'!E1000</f>
        <v>7W 0 02 S3710</v>
      </c>
      <c r="E347" s="97"/>
      <c r="F347" s="59">
        <f>F348</f>
        <v>7.5</v>
      </c>
      <c r="G347" s="59">
        <f t="shared" ref="G347:H348" si="159">G348</f>
        <v>0</v>
      </c>
      <c r="H347" s="59">
        <f t="shared" si="159"/>
        <v>7.5</v>
      </c>
      <c r="I347" s="190">
        <f t="shared" si="151"/>
        <v>0</v>
      </c>
    </row>
    <row r="348" spans="1:9" ht="25.5">
      <c r="A348" s="16" t="str">
        <f>'пр.4 вед.стр.'!A1001</f>
        <v>Закупка товаров, работ и услуг для обеспечения государственных (муниципальных) нужд</v>
      </c>
      <c r="B348" s="19" t="s">
        <v>72</v>
      </c>
      <c r="C348" s="19" t="s">
        <v>68</v>
      </c>
      <c r="D348" s="97" t="str">
        <f>'пр.4 вед.стр.'!E1001</f>
        <v>7W 0 02 S3710</v>
      </c>
      <c r="E348" s="97" t="str">
        <f>'пр.4 вед.стр.'!F1001</f>
        <v>200</v>
      </c>
      <c r="F348" s="59">
        <f>F349</f>
        <v>7.5</v>
      </c>
      <c r="G348" s="59">
        <f t="shared" si="159"/>
        <v>0</v>
      </c>
      <c r="H348" s="59">
        <f t="shared" si="159"/>
        <v>7.5</v>
      </c>
      <c r="I348" s="190">
        <f t="shared" si="151"/>
        <v>0</v>
      </c>
    </row>
    <row r="349" spans="1:9" ht="25.5">
      <c r="A349" s="16" t="str">
        <f>'пр.4 вед.стр.'!A1002</f>
        <v>Иные закупки товаров, работ и услуг для обеспечения государственных ( муниципальных ) нужд</v>
      </c>
      <c r="B349" s="19" t="s">
        <v>72</v>
      </c>
      <c r="C349" s="19" t="s">
        <v>68</v>
      </c>
      <c r="D349" s="97" t="str">
        <f>'пр.4 вед.стр.'!E1002</f>
        <v>7W 0 02 S3710</v>
      </c>
      <c r="E349" s="97" t="str">
        <f>'пр.4 вед.стр.'!F1002</f>
        <v>240</v>
      </c>
      <c r="F349" s="59">
        <f>'пр.4 вед.стр.'!G1002</f>
        <v>7.5</v>
      </c>
      <c r="G349" s="59">
        <f>'пр.4 вед.стр.'!H1002</f>
        <v>0</v>
      </c>
      <c r="H349" s="59">
        <f>'пр.4 вед.стр.'!I1002</f>
        <v>7.5</v>
      </c>
      <c r="I349" s="190">
        <f t="shared" si="151"/>
        <v>0</v>
      </c>
    </row>
    <row r="350" spans="1:9">
      <c r="A350" s="16" t="str">
        <f>'пр.4 вед.стр.'!A1003</f>
        <v xml:space="preserve">Мероприятия в области охраны окружающей среды </v>
      </c>
      <c r="B350" s="19" t="s">
        <v>72</v>
      </c>
      <c r="C350" s="19" t="s">
        <v>68</v>
      </c>
      <c r="D350" s="97" t="str">
        <f>'пр.4 вед.стр.'!E1003</f>
        <v>К4 0 00 00000</v>
      </c>
      <c r="E350" s="97"/>
      <c r="F350" s="59">
        <f>F351</f>
        <v>85</v>
      </c>
      <c r="G350" s="59">
        <f t="shared" ref="G350:H352" si="160">G351</f>
        <v>85</v>
      </c>
      <c r="H350" s="59">
        <f t="shared" si="160"/>
        <v>0</v>
      </c>
      <c r="I350" s="190">
        <f t="shared" si="151"/>
        <v>100</v>
      </c>
    </row>
    <row r="351" spans="1:9">
      <c r="A351" s="16" t="str">
        <f>'пр.4 вед.стр.'!A1004</f>
        <v>Прочие мероприятия в области охраны окружающей среды</v>
      </c>
      <c r="B351" s="19" t="s">
        <v>72</v>
      </c>
      <c r="C351" s="19" t="s">
        <v>68</v>
      </c>
      <c r="D351" s="97" t="str">
        <f>'пр.4 вед.стр.'!E1004</f>
        <v>К4 0 00 08660</v>
      </c>
      <c r="E351" s="97"/>
      <c r="F351" s="59">
        <f>F352</f>
        <v>85</v>
      </c>
      <c r="G351" s="59">
        <f t="shared" si="160"/>
        <v>85</v>
      </c>
      <c r="H351" s="59">
        <f t="shared" si="160"/>
        <v>0</v>
      </c>
      <c r="I351" s="190">
        <f t="shared" si="151"/>
        <v>100</v>
      </c>
    </row>
    <row r="352" spans="1:9" ht="25.5">
      <c r="A352" s="16" t="str">
        <f>'пр.4 вед.стр.'!A1005</f>
        <v>Закупка товаров, работ и услуг для обеспечения государственных (муниципальных) нужд</v>
      </c>
      <c r="B352" s="19" t="s">
        <v>72</v>
      </c>
      <c r="C352" s="19" t="s">
        <v>68</v>
      </c>
      <c r="D352" s="97" t="str">
        <f>'пр.4 вед.стр.'!E1005</f>
        <v>К4 0 00 08660</v>
      </c>
      <c r="E352" s="97" t="str">
        <f>'пр.4 вед.стр.'!F1005</f>
        <v>200</v>
      </c>
      <c r="F352" s="59">
        <f>F353</f>
        <v>85</v>
      </c>
      <c r="G352" s="59">
        <f t="shared" si="160"/>
        <v>85</v>
      </c>
      <c r="H352" s="59">
        <f t="shared" si="160"/>
        <v>0</v>
      </c>
      <c r="I352" s="190">
        <f t="shared" si="151"/>
        <v>100</v>
      </c>
    </row>
    <row r="353" spans="1:9" ht="25.5">
      <c r="A353" s="16" t="s">
        <v>556</v>
      </c>
      <c r="B353" s="19" t="s">
        <v>72</v>
      </c>
      <c r="C353" s="19" t="s">
        <v>68</v>
      </c>
      <c r="D353" s="97" t="str">
        <f>'пр.4 вед.стр.'!E1006</f>
        <v>К4 0 00 08660</v>
      </c>
      <c r="E353" s="97" t="str">
        <f>'пр.4 вед.стр.'!F1006</f>
        <v>240</v>
      </c>
      <c r="F353" s="59">
        <f>'пр.4 вед.стр.'!G1006</f>
        <v>85</v>
      </c>
      <c r="G353" s="59">
        <f>'пр.4 вед.стр.'!H1006</f>
        <v>85</v>
      </c>
      <c r="H353" s="59">
        <f>'пр.4 вед.стр.'!I1006</f>
        <v>0</v>
      </c>
      <c r="I353" s="190">
        <f t="shared" si="151"/>
        <v>100</v>
      </c>
    </row>
    <row r="354" spans="1:9">
      <c r="A354" s="15" t="s">
        <v>7</v>
      </c>
      <c r="B354" s="40" t="s">
        <v>65</v>
      </c>
      <c r="C354" s="40" t="s">
        <v>33</v>
      </c>
      <c r="D354" s="103"/>
      <c r="E354" s="101"/>
      <c r="F354" s="143">
        <f>F355+F411+F498+F604+F546</f>
        <v>398541.89999999997</v>
      </c>
      <c r="G354" s="143">
        <f t="shared" ref="G354:H354" si="161">G355+G411+G498+G604+G546</f>
        <v>396991.80000000005</v>
      </c>
      <c r="H354" s="143">
        <f t="shared" si="161"/>
        <v>1550.0999999999947</v>
      </c>
      <c r="I354" s="190">
        <f t="shared" si="151"/>
        <v>99.611057206281217</v>
      </c>
    </row>
    <row r="355" spans="1:9">
      <c r="A355" s="15" t="s">
        <v>8</v>
      </c>
      <c r="B355" s="31" t="s">
        <v>65</v>
      </c>
      <c r="C355" s="31" t="s">
        <v>62</v>
      </c>
      <c r="D355" s="100"/>
      <c r="E355" s="100"/>
      <c r="F355" s="143">
        <f>F357+F362+F376+F396+F401</f>
        <v>77085</v>
      </c>
      <c r="G355" s="143">
        <f t="shared" ref="G355:H355" si="162">G357+G362+G376+G396+G401</f>
        <v>77008.899999999994</v>
      </c>
      <c r="H355" s="143">
        <f t="shared" si="162"/>
        <v>76.100000000003917</v>
      </c>
      <c r="I355" s="190">
        <f t="shared" si="151"/>
        <v>99.901277810209493</v>
      </c>
    </row>
    <row r="356" spans="1:9">
      <c r="A356" s="16" t="s">
        <v>430</v>
      </c>
      <c r="B356" s="20" t="s">
        <v>65</v>
      </c>
      <c r="C356" s="20" t="s">
        <v>62</v>
      </c>
      <c r="D356" s="102" t="s">
        <v>431</v>
      </c>
      <c r="E356" s="97"/>
      <c r="F356" s="59">
        <f>F357+F362+F376+F396</f>
        <v>63172.5</v>
      </c>
      <c r="G356" s="59">
        <f t="shared" ref="G356:H356" si="163">G357+G362+G376+G396</f>
        <v>63142.5</v>
      </c>
      <c r="H356" s="59">
        <f t="shared" si="163"/>
        <v>30.000000000004235</v>
      </c>
      <c r="I356" s="190">
        <f t="shared" si="151"/>
        <v>99.952510981835445</v>
      </c>
    </row>
    <row r="357" spans="1:9" ht="38.25">
      <c r="A357" s="28" t="str">
        <f>'пр.4 вед.стр.'!A357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357" s="20" t="s">
        <v>65</v>
      </c>
      <c r="C357" s="20" t="s">
        <v>62</v>
      </c>
      <c r="D357" s="102" t="str">
        <f>'пр.4 вед.стр.'!E357</f>
        <v xml:space="preserve">7Б 0 00 00000 </v>
      </c>
      <c r="E357" s="97"/>
      <c r="F357" s="59">
        <f>F358</f>
        <v>170.70000000000002</v>
      </c>
      <c r="G357" s="59">
        <f t="shared" ref="G357:H360" si="164">G358</f>
        <v>170.7</v>
      </c>
      <c r="H357" s="59">
        <f t="shared" si="164"/>
        <v>0</v>
      </c>
      <c r="I357" s="190">
        <f t="shared" si="151"/>
        <v>99.999999999999986</v>
      </c>
    </row>
    <row r="358" spans="1:9" ht="38.25">
      <c r="A358" s="28" t="str">
        <f>'пр.4 вед.стр.'!A358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8" s="20" t="s">
        <v>65</v>
      </c>
      <c r="C358" s="20" t="s">
        <v>62</v>
      </c>
      <c r="D358" s="102" t="str">
        <f>'пр.4 вед.стр.'!E358</f>
        <v xml:space="preserve">7Б 0 01 00000 </v>
      </c>
      <c r="E358" s="97"/>
      <c r="F358" s="59">
        <f>F359</f>
        <v>170.70000000000002</v>
      </c>
      <c r="G358" s="59">
        <f t="shared" si="164"/>
        <v>170.7</v>
      </c>
      <c r="H358" s="59">
        <f t="shared" si="164"/>
        <v>0</v>
      </c>
      <c r="I358" s="190">
        <f t="shared" si="151"/>
        <v>99.999999999999986</v>
      </c>
    </row>
    <row r="359" spans="1:9">
      <c r="A359" s="28" t="str">
        <f>'пр.4 вед.стр.'!A359</f>
        <v>Обслуживание систем видеонаблюдения, охранной сигнализации</v>
      </c>
      <c r="B359" s="20" t="s">
        <v>65</v>
      </c>
      <c r="C359" s="20" t="s">
        <v>62</v>
      </c>
      <c r="D359" s="102" t="str">
        <f>'пр.4 вед.стр.'!E359</f>
        <v xml:space="preserve">7Б 0 01 91600 </v>
      </c>
      <c r="E359" s="97"/>
      <c r="F359" s="59">
        <f>F360</f>
        <v>170.70000000000002</v>
      </c>
      <c r="G359" s="59">
        <f t="shared" si="164"/>
        <v>170.7</v>
      </c>
      <c r="H359" s="59">
        <f t="shared" si="164"/>
        <v>0</v>
      </c>
      <c r="I359" s="190">
        <f t="shared" si="151"/>
        <v>99.999999999999986</v>
      </c>
    </row>
    <row r="360" spans="1:9" ht="25.5">
      <c r="A360" s="28" t="str">
        <f>'пр.4 вед.стр.'!A360</f>
        <v>Предоставление субсидий бюджетным, автономным учреждениям и иным некоммерческим организациям</v>
      </c>
      <c r="B360" s="20" t="s">
        <v>65</v>
      </c>
      <c r="C360" s="20" t="s">
        <v>62</v>
      </c>
      <c r="D360" s="102" t="str">
        <f>'пр.4 вед.стр.'!E360</f>
        <v xml:space="preserve">7Б 0 01 91600 </v>
      </c>
      <c r="E360" s="97" t="str">
        <f>'пр.4 вед.стр.'!F360</f>
        <v>600</v>
      </c>
      <c r="F360" s="59">
        <f>F361</f>
        <v>170.70000000000002</v>
      </c>
      <c r="G360" s="59">
        <f t="shared" si="164"/>
        <v>170.7</v>
      </c>
      <c r="H360" s="59">
        <f t="shared" si="164"/>
        <v>0</v>
      </c>
      <c r="I360" s="190">
        <f t="shared" si="151"/>
        <v>99.999999999999986</v>
      </c>
    </row>
    <row r="361" spans="1:9">
      <c r="A361" s="28" t="str">
        <f>'пр.4 вед.стр.'!A361</f>
        <v>Субсидии бюджетным учреждениям</v>
      </c>
      <c r="B361" s="20" t="s">
        <v>65</v>
      </c>
      <c r="C361" s="20" t="s">
        <v>62</v>
      </c>
      <c r="D361" s="102" t="str">
        <f>'пр.4 вед.стр.'!E361</f>
        <v xml:space="preserve">7Б 0 01 91600 </v>
      </c>
      <c r="E361" s="97" t="str">
        <f>'пр.4 вед.стр.'!F361</f>
        <v>610</v>
      </c>
      <c r="F361" s="59">
        <f>'пр.4 вед.стр.'!G361</f>
        <v>170.70000000000002</v>
      </c>
      <c r="G361" s="59">
        <f>'пр.4 вед.стр.'!H361</f>
        <v>170.7</v>
      </c>
      <c r="H361" s="59">
        <f>'пр.4 вед.стр.'!I361</f>
        <v>0</v>
      </c>
      <c r="I361" s="190">
        <f t="shared" si="151"/>
        <v>99.999999999999986</v>
      </c>
    </row>
    <row r="362" spans="1:9" ht="25.5">
      <c r="A362" s="28" t="str">
        <f>'пр.4 вед.стр.'!A362</f>
        <v>Муниципальная программа  "Пожарная безопасность в Сусуманском городском округе на 2018- 2022 годы"</v>
      </c>
      <c r="B362" s="20" t="s">
        <v>65</v>
      </c>
      <c r="C362" s="20" t="s">
        <v>62</v>
      </c>
      <c r="D362" s="102" t="str">
        <f>'пр.4 вед.стр.'!E362</f>
        <v xml:space="preserve">7П 0 00 00000 </v>
      </c>
      <c r="E362" s="97"/>
      <c r="F362" s="59">
        <f>F363</f>
        <v>418.4</v>
      </c>
      <c r="G362" s="59">
        <f t="shared" ref="G362:H362" si="165">G363</f>
        <v>418.4</v>
      </c>
      <c r="H362" s="59">
        <f t="shared" si="165"/>
        <v>0</v>
      </c>
      <c r="I362" s="190">
        <f t="shared" si="151"/>
        <v>100</v>
      </c>
    </row>
    <row r="363" spans="1:9" ht="38.25">
      <c r="A363" s="28" t="str">
        <f>'пр.4 вед.стр.'!A363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3" s="20" t="s">
        <v>65</v>
      </c>
      <c r="C363" s="20" t="s">
        <v>62</v>
      </c>
      <c r="D363" s="102" t="str">
        <f>'пр.4 вед.стр.'!E363</f>
        <v xml:space="preserve">7П 0 01 00000 </v>
      </c>
      <c r="E363" s="97"/>
      <c r="F363" s="59">
        <f>F364+F367+F370+F373</f>
        <v>418.4</v>
      </c>
      <c r="G363" s="59">
        <f t="shared" ref="G363:H363" si="166">G364+G367+G370+G373</f>
        <v>418.4</v>
      </c>
      <c r="H363" s="59">
        <f t="shared" si="166"/>
        <v>0</v>
      </c>
      <c r="I363" s="190">
        <f t="shared" si="151"/>
        <v>100</v>
      </c>
    </row>
    <row r="364" spans="1:9" ht="38.25">
      <c r="A364" s="28" t="str">
        <f>'пр.4 вед.стр.'!A364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4" s="20" t="s">
        <v>65</v>
      </c>
      <c r="C364" s="20" t="s">
        <v>62</v>
      </c>
      <c r="D364" s="102" t="str">
        <f>'пр.4 вед.стр.'!E364</f>
        <v xml:space="preserve">7П 0 01 94100 </v>
      </c>
      <c r="E364" s="97"/>
      <c r="F364" s="59">
        <f>F365</f>
        <v>268.8</v>
      </c>
      <c r="G364" s="59">
        <f t="shared" ref="G364:H365" si="167">G365</f>
        <v>268.8</v>
      </c>
      <c r="H364" s="59">
        <f t="shared" si="167"/>
        <v>0</v>
      </c>
      <c r="I364" s="190">
        <f t="shared" si="151"/>
        <v>100</v>
      </c>
    </row>
    <row r="365" spans="1:9" ht="25.5">
      <c r="A365" s="28" t="str">
        <f>'пр.4 вед.стр.'!A365</f>
        <v>Предоставление субсидий бюджетным, автономным учреждениям и иным некоммерческим организациям</v>
      </c>
      <c r="B365" s="20" t="s">
        <v>65</v>
      </c>
      <c r="C365" s="20" t="s">
        <v>62</v>
      </c>
      <c r="D365" s="102" t="str">
        <f>'пр.4 вед.стр.'!E365</f>
        <v xml:space="preserve">7П 0 01 94100 </v>
      </c>
      <c r="E365" s="97" t="str">
        <f>'пр.4 вед.стр.'!F365</f>
        <v>600</v>
      </c>
      <c r="F365" s="59">
        <f>F366</f>
        <v>268.8</v>
      </c>
      <c r="G365" s="59">
        <f t="shared" si="167"/>
        <v>268.8</v>
      </c>
      <c r="H365" s="59">
        <f t="shared" si="167"/>
        <v>0</v>
      </c>
      <c r="I365" s="190">
        <f t="shared" si="151"/>
        <v>100</v>
      </c>
    </row>
    <row r="366" spans="1:9">
      <c r="A366" s="28" t="str">
        <f>'пр.4 вед.стр.'!A366</f>
        <v>Субсидии бюджетным учреждениям</v>
      </c>
      <c r="B366" s="20" t="s">
        <v>65</v>
      </c>
      <c r="C366" s="20" t="s">
        <v>62</v>
      </c>
      <c r="D366" s="102" t="str">
        <f>'пр.4 вед.стр.'!E366</f>
        <v xml:space="preserve">7П 0 01 94100 </v>
      </c>
      <c r="E366" s="97" t="str">
        <f>'пр.4 вед.стр.'!F366</f>
        <v>610</v>
      </c>
      <c r="F366" s="59">
        <f>'пр.4 вед.стр.'!G366</f>
        <v>268.8</v>
      </c>
      <c r="G366" s="59">
        <f>'пр.4 вед.стр.'!H366</f>
        <v>268.8</v>
      </c>
      <c r="H366" s="59">
        <f>'пр.4 вед.стр.'!I366</f>
        <v>0</v>
      </c>
      <c r="I366" s="190">
        <f t="shared" si="151"/>
        <v>100</v>
      </c>
    </row>
    <row r="367" spans="1:9" ht="25.5">
      <c r="A367" s="28" t="str">
        <f>'пр.4 вед.стр.'!A367</f>
        <v>Проведение замеров сопротивления изоляции электросетей и электрооборудования</v>
      </c>
      <c r="B367" s="20" t="s">
        <v>65</v>
      </c>
      <c r="C367" s="20" t="s">
        <v>62</v>
      </c>
      <c r="D367" s="102" t="str">
        <f>'пр.4 вед.стр.'!E367</f>
        <v xml:space="preserve">7П 0 01 94400 </v>
      </c>
      <c r="E367" s="97"/>
      <c r="F367" s="59">
        <f>F368</f>
        <v>124.5</v>
      </c>
      <c r="G367" s="59">
        <f t="shared" ref="G367:H368" si="168">G368</f>
        <v>124.5</v>
      </c>
      <c r="H367" s="59">
        <f t="shared" si="168"/>
        <v>0</v>
      </c>
      <c r="I367" s="190">
        <f t="shared" si="151"/>
        <v>100</v>
      </c>
    </row>
    <row r="368" spans="1:9" ht="25.5">
      <c r="A368" s="28" t="str">
        <f>'пр.4 вед.стр.'!A368</f>
        <v>Предоставление субсидий бюджетным, автономным учреждениям и иным некоммерческим организациям</v>
      </c>
      <c r="B368" s="20" t="s">
        <v>65</v>
      </c>
      <c r="C368" s="20" t="s">
        <v>62</v>
      </c>
      <c r="D368" s="102" t="str">
        <f>'пр.4 вед.стр.'!E368</f>
        <v xml:space="preserve">7П 0 01 94400 </v>
      </c>
      <c r="E368" s="97" t="str">
        <f>'пр.4 вед.стр.'!F368</f>
        <v>600</v>
      </c>
      <c r="F368" s="59">
        <f>F369</f>
        <v>124.5</v>
      </c>
      <c r="G368" s="59">
        <f t="shared" si="168"/>
        <v>124.5</v>
      </c>
      <c r="H368" s="59">
        <f t="shared" si="168"/>
        <v>0</v>
      </c>
      <c r="I368" s="190">
        <f t="shared" si="151"/>
        <v>100</v>
      </c>
    </row>
    <row r="369" spans="1:9">
      <c r="A369" s="28" t="str">
        <f>'пр.4 вед.стр.'!A369</f>
        <v>Субсидии бюджетным учреждениям</v>
      </c>
      <c r="B369" s="20" t="s">
        <v>65</v>
      </c>
      <c r="C369" s="20" t="s">
        <v>62</v>
      </c>
      <c r="D369" s="102" t="str">
        <f>'пр.4 вед.стр.'!E369</f>
        <v xml:space="preserve">7П 0 01 94400 </v>
      </c>
      <c r="E369" s="97" t="str">
        <f>'пр.4 вед.стр.'!F369</f>
        <v>610</v>
      </c>
      <c r="F369" s="59">
        <f>'пр.4 вед.стр.'!G369</f>
        <v>124.5</v>
      </c>
      <c r="G369" s="59">
        <f>'пр.4 вед.стр.'!H369</f>
        <v>124.5</v>
      </c>
      <c r="H369" s="59">
        <f>'пр.4 вед.стр.'!I369</f>
        <v>0</v>
      </c>
      <c r="I369" s="190">
        <f t="shared" si="151"/>
        <v>100</v>
      </c>
    </row>
    <row r="370" spans="1:9" ht="25.5">
      <c r="A370" s="28" t="str">
        <f>'пр.4 вед.стр.'!A370</f>
        <v>Проведение проверок исправности и ремонт систем противопожарного водоснабжения, приобретение и обслуживание гидрантов</v>
      </c>
      <c r="B370" s="20" t="s">
        <v>65</v>
      </c>
      <c r="C370" s="20" t="s">
        <v>62</v>
      </c>
      <c r="D370" s="102" t="str">
        <f>'пр.4 вед.стр.'!E370</f>
        <v xml:space="preserve">7П 0 01 94500 </v>
      </c>
      <c r="E370" s="97"/>
      <c r="F370" s="59">
        <f>F371</f>
        <v>19.200000000000003</v>
      </c>
      <c r="G370" s="59">
        <f t="shared" ref="G370:H371" si="169">G371</f>
        <v>19.2</v>
      </c>
      <c r="H370" s="59">
        <f t="shared" si="169"/>
        <v>0</v>
      </c>
      <c r="I370" s="190">
        <f t="shared" si="151"/>
        <v>99.999999999999972</v>
      </c>
    </row>
    <row r="371" spans="1:9" ht="25.5">
      <c r="A371" s="28" t="str">
        <f>'пр.4 вед.стр.'!A371</f>
        <v>Предоставление субсидий бюджетным, автономным учреждениям и иным некоммерческим организациям</v>
      </c>
      <c r="B371" s="20" t="s">
        <v>65</v>
      </c>
      <c r="C371" s="20" t="s">
        <v>62</v>
      </c>
      <c r="D371" s="102" t="str">
        <f>'пр.4 вед.стр.'!E371</f>
        <v xml:space="preserve">7П 0 01 94500 </v>
      </c>
      <c r="E371" s="97" t="str">
        <f>'пр.4 вед.стр.'!F371</f>
        <v>600</v>
      </c>
      <c r="F371" s="59">
        <f>F372</f>
        <v>19.200000000000003</v>
      </c>
      <c r="G371" s="59">
        <f t="shared" si="169"/>
        <v>19.2</v>
      </c>
      <c r="H371" s="59">
        <f t="shared" si="169"/>
        <v>0</v>
      </c>
      <c r="I371" s="190">
        <f t="shared" si="151"/>
        <v>99.999999999999972</v>
      </c>
    </row>
    <row r="372" spans="1:9">
      <c r="A372" s="28" t="str">
        <f>'пр.4 вед.стр.'!A372</f>
        <v>Субсидии бюджетным учреждениям</v>
      </c>
      <c r="B372" s="20" t="s">
        <v>65</v>
      </c>
      <c r="C372" s="20" t="s">
        <v>62</v>
      </c>
      <c r="D372" s="102" t="str">
        <f>'пр.4 вед.стр.'!E372</f>
        <v xml:space="preserve">7П 0 01 94500 </v>
      </c>
      <c r="E372" s="97" t="str">
        <f>'пр.4 вед.стр.'!F372</f>
        <v>610</v>
      </c>
      <c r="F372" s="59">
        <f>'пр.4 вед.стр.'!G372</f>
        <v>19.200000000000003</v>
      </c>
      <c r="G372" s="59">
        <f>'пр.4 вед.стр.'!H372</f>
        <v>19.2</v>
      </c>
      <c r="H372" s="59">
        <f>'пр.4 вед.стр.'!I372</f>
        <v>0</v>
      </c>
      <c r="I372" s="190">
        <f t="shared" si="151"/>
        <v>99.999999999999972</v>
      </c>
    </row>
    <row r="373" spans="1:9">
      <c r="A373" s="16" t="str">
        <f>'пр.4 вед.стр.'!A373</f>
        <v>Обучение сотрудников по пожарной безопасности</v>
      </c>
      <c r="B373" s="20" t="s">
        <v>65</v>
      </c>
      <c r="C373" s="20" t="s">
        <v>62</v>
      </c>
      <c r="D373" s="102" t="str">
        <f>'пр.4 вед.стр.'!E373</f>
        <v xml:space="preserve">7П 0 01 94510 </v>
      </c>
      <c r="E373" s="97"/>
      <c r="F373" s="59">
        <f>F374</f>
        <v>5.9</v>
      </c>
      <c r="G373" s="59">
        <f t="shared" ref="G373:H374" si="170">G374</f>
        <v>5.9</v>
      </c>
      <c r="H373" s="59">
        <f t="shared" si="170"/>
        <v>0</v>
      </c>
      <c r="I373" s="190">
        <f t="shared" si="151"/>
        <v>100</v>
      </c>
    </row>
    <row r="374" spans="1:9" ht="25.5">
      <c r="A374" s="16" t="str">
        <f>'пр.4 вед.стр.'!A374</f>
        <v>Предоставление субсидий бюджетным, автономным учреждениям и иным некоммерческим организациям</v>
      </c>
      <c r="B374" s="20" t="s">
        <v>65</v>
      </c>
      <c r="C374" s="20" t="s">
        <v>62</v>
      </c>
      <c r="D374" s="102" t="str">
        <f>'пр.4 вед.стр.'!E374</f>
        <v xml:space="preserve">7П 0 01 94510 </v>
      </c>
      <c r="E374" s="97" t="str">
        <f>'пр.4 вед.стр.'!F374</f>
        <v>600</v>
      </c>
      <c r="F374" s="59">
        <f>F375</f>
        <v>5.9</v>
      </c>
      <c r="G374" s="59">
        <f t="shared" si="170"/>
        <v>5.9</v>
      </c>
      <c r="H374" s="59">
        <f t="shared" si="170"/>
        <v>0</v>
      </c>
      <c r="I374" s="190">
        <f t="shared" si="151"/>
        <v>100</v>
      </c>
    </row>
    <row r="375" spans="1:9">
      <c r="A375" s="16" t="str">
        <f>'пр.4 вед.стр.'!A375</f>
        <v>Субсидии бюджетным учреждениям</v>
      </c>
      <c r="B375" s="20" t="s">
        <v>65</v>
      </c>
      <c r="C375" s="20" t="s">
        <v>62</v>
      </c>
      <c r="D375" s="102" t="str">
        <f>'пр.4 вед.стр.'!E375</f>
        <v xml:space="preserve">7П 0 01 94510 </v>
      </c>
      <c r="E375" s="97" t="str">
        <f>'пр.4 вед.стр.'!F375</f>
        <v>610</v>
      </c>
      <c r="F375" s="59">
        <f>'пр.4 вед.стр.'!G375</f>
        <v>5.9</v>
      </c>
      <c r="G375" s="59">
        <f>'пр.4 вед.стр.'!H375</f>
        <v>5.9</v>
      </c>
      <c r="H375" s="59">
        <f>'пр.4 вед.стр.'!I375</f>
        <v>0</v>
      </c>
      <c r="I375" s="190">
        <f t="shared" si="151"/>
        <v>100</v>
      </c>
    </row>
    <row r="376" spans="1:9" ht="25.5">
      <c r="A376" s="28" t="str">
        <f>'пр.4 вед.стр.'!A376</f>
        <v>Муниципальная  программа  "Развитие образования в Сусуманском городском округе  на 2018- 2022 годы"</v>
      </c>
      <c r="B376" s="20" t="s">
        <v>65</v>
      </c>
      <c r="C376" s="20" t="s">
        <v>62</v>
      </c>
      <c r="D376" s="102" t="str">
        <f>'пр.4 вед.стр.'!E376</f>
        <v xml:space="preserve">7Р 0 00 00000 </v>
      </c>
      <c r="E376" s="97"/>
      <c r="F376" s="59">
        <f>F377</f>
        <v>62508</v>
      </c>
      <c r="G376" s="59">
        <f t="shared" ref="G376:H376" si="171">G377</f>
        <v>62478.1</v>
      </c>
      <c r="H376" s="59">
        <f t="shared" si="171"/>
        <v>29.900000000004226</v>
      </c>
      <c r="I376" s="190">
        <f t="shared" si="151"/>
        <v>99.952166122736287</v>
      </c>
    </row>
    <row r="377" spans="1:9">
      <c r="A377" s="16" t="str">
        <f>'пр.4 вед.стр.'!A377</f>
        <v>Основное мероприятие "Управление развитием отрасли образования"</v>
      </c>
      <c r="B377" s="20" t="s">
        <v>65</v>
      </c>
      <c r="C377" s="20" t="s">
        <v>62</v>
      </c>
      <c r="D377" s="97" t="str">
        <f>'пр.4 вед.стр.'!E377</f>
        <v>7Р 0 02 00000</v>
      </c>
      <c r="E377" s="97"/>
      <c r="F377" s="59">
        <f>F384+F387+F390+F393+F381+F378</f>
        <v>62508</v>
      </c>
      <c r="G377" s="59">
        <f t="shared" ref="G377:H377" si="172">G384+G387+G390+G393+G381+G378</f>
        <v>62478.1</v>
      </c>
      <c r="H377" s="59">
        <f t="shared" si="172"/>
        <v>29.900000000004226</v>
      </c>
      <c r="I377" s="190">
        <f t="shared" si="151"/>
        <v>99.952166122736287</v>
      </c>
    </row>
    <row r="378" spans="1:9" ht="76.5">
      <c r="A378" s="16" t="str">
        <f>'пр.4 вед.стр.'!A378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378" s="20" t="s">
        <v>65</v>
      </c>
      <c r="C378" s="20" t="s">
        <v>62</v>
      </c>
      <c r="D378" s="97" t="str">
        <f>'пр.4 вед.стр.'!E378</f>
        <v>7Р 0 02 73С20</v>
      </c>
      <c r="E378" s="97"/>
      <c r="F378" s="59">
        <f>F379</f>
        <v>40.700000000000003</v>
      </c>
      <c r="G378" s="59">
        <f t="shared" ref="G378:H379" si="173">G379</f>
        <v>20</v>
      </c>
      <c r="H378" s="59">
        <f t="shared" si="173"/>
        <v>20.700000000000003</v>
      </c>
      <c r="I378" s="190">
        <f t="shared" si="151"/>
        <v>49.140049140049136</v>
      </c>
    </row>
    <row r="379" spans="1:9" ht="25.5">
      <c r="A379" s="152" t="str">
        <f>'пр.4 вед.стр.'!A379</f>
        <v>Предоставление субсидий бюджетным, автономным учреждениям и иным некоммерческим организациям</v>
      </c>
      <c r="B379" s="20" t="s">
        <v>65</v>
      </c>
      <c r="C379" s="20" t="s">
        <v>62</v>
      </c>
      <c r="D379" s="97" t="str">
        <f>'пр.4 вед.стр.'!E379</f>
        <v>7Р 0 02 73С20</v>
      </c>
      <c r="E379" s="97" t="str">
        <f>'пр.4 вед.стр.'!F379</f>
        <v>600</v>
      </c>
      <c r="F379" s="59">
        <f>F380</f>
        <v>40.700000000000003</v>
      </c>
      <c r="G379" s="59">
        <f t="shared" si="173"/>
        <v>20</v>
      </c>
      <c r="H379" s="59">
        <f t="shared" si="173"/>
        <v>20.700000000000003</v>
      </c>
      <c r="I379" s="190">
        <f t="shared" si="151"/>
        <v>49.140049140049136</v>
      </c>
    </row>
    <row r="380" spans="1:9">
      <c r="A380" s="152" t="str">
        <f>'пр.4 вед.стр.'!A380</f>
        <v>Субсидии бюджетным учреждениям</v>
      </c>
      <c r="B380" s="20" t="s">
        <v>65</v>
      </c>
      <c r="C380" s="20" t="s">
        <v>62</v>
      </c>
      <c r="D380" s="97" t="str">
        <f>'пр.4 вед.стр.'!E380</f>
        <v>7Р 0 02 73С20</v>
      </c>
      <c r="E380" s="97" t="str">
        <f>'пр.4 вед.стр.'!F380</f>
        <v>610</v>
      </c>
      <c r="F380" s="59">
        <f>'пр.4 вед.стр.'!G380</f>
        <v>40.700000000000003</v>
      </c>
      <c r="G380" s="59">
        <f>'пр.4 вед.стр.'!H380</f>
        <v>20</v>
      </c>
      <c r="H380" s="59">
        <f>'пр.4 вед.стр.'!I380</f>
        <v>20.700000000000003</v>
      </c>
      <c r="I380" s="190">
        <f t="shared" si="151"/>
        <v>49.140049140049136</v>
      </c>
    </row>
    <row r="381" spans="1:9" ht="63.75">
      <c r="A381" s="15" t="str">
        <f>'пр.4 вед.стр.'!A381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81" s="20" t="s">
        <v>65</v>
      </c>
      <c r="C381" s="20" t="s">
        <v>62</v>
      </c>
      <c r="D381" s="97" t="str">
        <f>'[1]пр.7 вед.стр.'!E449</f>
        <v>7Р 0 02 S3С20</v>
      </c>
      <c r="E381" s="97"/>
      <c r="F381" s="59">
        <f>F382</f>
        <v>10</v>
      </c>
      <c r="G381" s="59">
        <f t="shared" ref="G381:H382" si="174">G382</f>
        <v>10</v>
      </c>
      <c r="H381" s="59">
        <f t="shared" si="174"/>
        <v>0</v>
      </c>
      <c r="I381" s="190">
        <f t="shared" si="151"/>
        <v>100</v>
      </c>
    </row>
    <row r="382" spans="1:9" ht="25.5">
      <c r="A382" s="152" t="str">
        <f>'[1]пр.7 вед.стр.'!A450</f>
        <v>Предоставление субсидий бюджетным, автономным учреждениям и иным некоммерческим организациям</v>
      </c>
      <c r="B382" s="20" t="s">
        <v>65</v>
      </c>
      <c r="C382" s="20" t="s">
        <v>62</v>
      </c>
      <c r="D382" s="97" t="str">
        <f>'[1]пр.7 вед.стр.'!E450</f>
        <v>7Р 0 02 S3С20</v>
      </c>
      <c r="E382" s="97" t="str">
        <f>'[1]пр.7 вед.стр.'!F450</f>
        <v>600</v>
      </c>
      <c r="F382" s="59">
        <f>F383</f>
        <v>10</v>
      </c>
      <c r="G382" s="59">
        <f t="shared" si="174"/>
        <v>10</v>
      </c>
      <c r="H382" s="59">
        <f t="shared" si="174"/>
        <v>0</v>
      </c>
      <c r="I382" s="190">
        <f t="shared" si="151"/>
        <v>100</v>
      </c>
    </row>
    <row r="383" spans="1:9">
      <c r="A383" s="152" t="str">
        <f>'[1]пр.7 вед.стр.'!A451</f>
        <v>Субсидии бюджетным учреждениям</v>
      </c>
      <c r="B383" s="20" t="s">
        <v>65</v>
      </c>
      <c r="C383" s="20" t="s">
        <v>62</v>
      </c>
      <c r="D383" s="97" t="str">
        <f>'[1]пр.7 вед.стр.'!E451</f>
        <v>7Р 0 02 S3С20</v>
      </c>
      <c r="E383" s="97" t="str">
        <f>'[1]пр.7 вед.стр.'!F451</f>
        <v>610</v>
      </c>
      <c r="F383" s="59">
        <f>'пр.4 вед.стр.'!G383</f>
        <v>10</v>
      </c>
      <c r="G383" s="59">
        <f>'пр.4 вед.стр.'!H383</f>
        <v>10</v>
      </c>
      <c r="H383" s="59">
        <f>'пр.4 вед.стр.'!I383</f>
        <v>0</v>
      </c>
      <c r="I383" s="190">
        <f t="shared" si="151"/>
        <v>100</v>
      </c>
    </row>
    <row r="384" spans="1:9" ht="38.25">
      <c r="A384" s="16" t="str">
        <f>'пр.4 вед.стр.'!A384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4" s="20" t="s">
        <v>65</v>
      </c>
      <c r="C384" s="20" t="s">
        <v>62</v>
      </c>
      <c r="D384" s="97" t="str">
        <f>'пр.4 вед.стр.'!E384</f>
        <v>7Р 0 02 74060</v>
      </c>
      <c r="E384" s="97"/>
      <c r="F384" s="59">
        <f>F385</f>
        <v>257.79999999999995</v>
      </c>
      <c r="G384" s="59">
        <f t="shared" ref="G384:H385" si="175">G385</f>
        <v>255.4</v>
      </c>
      <c r="H384" s="59">
        <f t="shared" si="175"/>
        <v>2.3999999999999488</v>
      </c>
      <c r="I384" s="190">
        <f t="shared" si="151"/>
        <v>99.069045771916237</v>
      </c>
    </row>
    <row r="385" spans="1:9" ht="25.5">
      <c r="A385" s="16" t="str">
        <f>'пр.4 вед.стр.'!A385</f>
        <v>Предоставление субсидий бюджетным, автономным учреждениям и иным некоммерческим организациям</v>
      </c>
      <c r="B385" s="20" t="s">
        <v>65</v>
      </c>
      <c r="C385" s="20" t="s">
        <v>62</v>
      </c>
      <c r="D385" s="97" t="str">
        <f>'пр.4 вед.стр.'!E385</f>
        <v>7Р 0 02 74060</v>
      </c>
      <c r="E385" s="97" t="str">
        <f>'пр.4 вед.стр.'!F385</f>
        <v>600</v>
      </c>
      <c r="F385" s="59">
        <f>F386</f>
        <v>257.79999999999995</v>
      </c>
      <c r="G385" s="59">
        <f t="shared" si="175"/>
        <v>255.4</v>
      </c>
      <c r="H385" s="59">
        <f t="shared" si="175"/>
        <v>2.3999999999999488</v>
      </c>
      <c r="I385" s="190">
        <f t="shared" si="151"/>
        <v>99.069045771916237</v>
      </c>
    </row>
    <row r="386" spans="1:9">
      <c r="A386" s="16" t="str">
        <f>'пр.4 вед.стр.'!A386</f>
        <v>Субсидии бюджетным учреждениям</v>
      </c>
      <c r="B386" s="20" t="s">
        <v>65</v>
      </c>
      <c r="C386" s="20" t="s">
        <v>62</v>
      </c>
      <c r="D386" s="97" t="str">
        <f>'пр.4 вед.стр.'!E386</f>
        <v>7Р 0 02 74060</v>
      </c>
      <c r="E386" s="97" t="str">
        <f>'пр.4 вед.стр.'!F386</f>
        <v>610</v>
      </c>
      <c r="F386" s="59">
        <f>'пр.4 вед.стр.'!G386</f>
        <v>257.79999999999995</v>
      </c>
      <c r="G386" s="59">
        <f>'пр.4 вед.стр.'!H386</f>
        <v>255.4</v>
      </c>
      <c r="H386" s="59">
        <f>'пр.4 вед.стр.'!I386</f>
        <v>2.3999999999999488</v>
      </c>
      <c r="I386" s="190">
        <f t="shared" si="151"/>
        <v>99.069045771916237</v>
      </c>
    </row>
    <row r="387" spans="1:9" ht="51">
      <c r="A387" s="16" t="str">
        <f>'пр.4 вед.стр.'!A387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7" s="20" t="s">
        <v>65</v>
      </c>
      <c r="C387" s="20" t="s">
        <v>62</v>
      </c>
      <c r="D387" s="97" t="str">
        <f>'пр.4 вед.стр.'!E387</f>
        <v>7Р 0 02 74070</v>
      </c>
      <c r="E387" s="97"/>
      <c r="F387" s="59">
        <f>F388</f>
        <v>1006</v>
      </c>
      <c r="G387" s="59">
        <f t="shared" ref="G387:H388" si="176">G388</f>
        <v>1000.9000000000001</v>
      </c>
      <c r="H387" s="59">
        <f t="shared" si="176"/>
        <v>5.0999999999999091</v>
      </c>
      <c r="I387" s="190">
        <f t="shared" si="151"/>
        <v>99.493041749502993</v>
      </c>
    </row>
    <row r="388" spans="1:9" ht="25.5">
      <c r="A388" s="16" t="str">
        <f>'пр.4 вед.стр.'!A388</f>
        <v>Предоставление субсидий бюджетным, автономным учреждениям и иным некоммерческим организациям</v>
      </c>
      <c r="B388" s="20" t="s">
        <v>65</v>
      </c>
      <c r="C388" s="20" t="s">
        <v>62</v>
      </c>
      <c r="D388" s="97" t="str">
        <f>'пр.4 вед.стр.'!E388</f>
        <v>7Р 0 02 74070</v>
      </c>
      <c r="E388" s="97" t="str">
        <f>'пр.4 вед.стр.'!F388</f>
        <v>600</v>
      </c>
      <c r="F388" s="59">
        <f>F389</f>
        <v>1006</v>
      </c>
      <c r="G388" s="59">
        <f t="shared" si="176"/>
        <v>1000.9000000000001</v>
      </c>
      <c r="H388" s="59">
        <f t="shared" si="176"/>
        <v>5.0999999999999091</v>
      </c>
      <c r="I388" s="190">
        <f t="shared" si="151"/>
        <v>99.493041749502993</v>
      </c>
    </row>
    <row r="389" spans="1:9">
      <c r="A389" s="16" t="str">
        <f>'пр.4 вед.стр.'!A389</f>
        <v>Субсидии бюджетным учреждениям</v>
      </c>
      <c r="B389" s="20" t="s">
        <v>65</v>
      </c>
      <c r="C389" s="20" t="s">
        <v>62</v>
      </c>
      <c r="D389" s="97" t="str">
        <f>'пр.4 вед.стр.'!E389</f>
        <v>7Р 0 02 74070</v>
      </c>
      <c r="E389" s="97" t="str">
        <f>'пр.4 вед.стр.'!F389</f>
        <v>610</v>
      </c>
      <c r="F389" s="59">
        <f>'пр.4 вед.стр.'!G389</f>
        <v>1006</v>
      </c>
      <c r="G389" s="59">
        <f>'пр.4 вед.стр.'!H389</f>
        <v>1000.9000000000001</v>
      </c>
      <c r="H389" s="59">
        <f>'пр.4 вед.стр.'!I389</f>
        <v>5.0999999999999091</v>
      </c>
      <c r="I389" s="190">
        <f t="shared" si="151"/>
        <v>99.493041749502993</v>
      </c>
    </row>
    <row r="390" spans="1:9" ht="51">
      <c r="A390" s="16" t="str">
        <f>'пр.4 вед.стр.'!A390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90" s="20" t="s">
        <v>65</v>
      </c>
      <c r="C390" s="20" t="s">
        <v>62</v>
      </c>
      <c r="D390" s="97" t="str">
        <f>'пр.4 вед.стр.'!E390</f>
        <v>7Р 0 02 74120</v>
      </c>
      <c r="E390" s="97"/>
      <c r="F390" s="59">
        <f>F391</f>
        <v>58976.9</v>
      </c>
      <c r="G390" s="59">
        <f t="shared" ref="G390:H391" si="177">G391</f>
        <v>58975.199999999997</v>
      </c>
      <c r="H390" s="59">
        <f t="shared" si="177"/>
        <v>1.7000000000043656</v>
      </c>
      <c r="I390" s="190">
        <f t="shared" si="151"/>
        <v>99.997117515501827</v>
      </c>
    </row>
    <row r="391" spans="1:9" ht="25.5">
      <c r="A391" s="16" t="str">
        <f>'пр.4 вед.стр.'!A391</f>
        <v>Предоставление субсидий бюджетным, автономным учреждениям и иным некоммерческим организациям</v>
      </c>
      <c r="B391" s="20" t="s">
        <v>65</v>
      </c>
      <c r="C391" s="20" t="s">
        <v>62</v>
      </c>
      <c r="D391" s="97" t="str">
        <f>'пр.4 вед.стр.'!E391</f>
        <v>7Р 0 02 74120</v>
      </c>
      <c r="E391" s="97" t="str">
        <f>'пр.4 вед.стр.'!F391</f>
        <v>600</v>
      </c>
      <c r="F391" s="59">
        <f>F392</f>
        <v>58976.9</v>
      </c>
      <c r="G391" s="59">
        <f t="shared" si="177"/>
        <v>58975.199999999997</v>
      </c>
      <c r="H391" s="59">
        <f t="shared" si="177"/>
        <v>1.7000000000043656</v>
      </c>
      <c r="I391" s="190">
        <f t="shared" si="151"/>
        <v>99.997117515501827</v>
      </c>
    </row>
    <row r="392" spans="1:9">
      <c r="A392" s="16" t="str">
        <f>'пр.4 вед.стр.'!A392</f>
        <v>Субсидии бюджетным учреждениям</v>
      </c>
      <c r="B392" s="20" t="s">
        <v>65</v>
      </c>
      <c r="C392" s="20" t="s">
        <v>62</v>
      </c>
      <c r="D392" s="97" t="str">
        <f>'пр.4 вед.стр.'!E392</f>
        <v>7Р 0 02 74120</v>
      </c>
      <c r="E392" s="97" t="str">
        <f>'пр.4 вед.стр.'!F392</f>
        <v>610</v>
      </c>
      <c r="F392" s="59">
        <f>'пр.4 вед.стр.'!G392</f>
        <v>58976.9</v>
      </c>
      <c r="G392" s="59">
        <f>'пр.4 вед.стр.'!H392</f>
        <v>58975.199999999997</v>
      </c>
      <c r="H392" s="59">
        <f>'пр.4 вед.стр.'!I392</f>
        <v>1.7000000000043656</v>
      </c>
      <c r="I392" s="190">
        <f t="shared" si="151"/>
        <v>99.997117515501827</v>
      </c>
    </row>
    <row r="393" spans="1:9" ht="38.25">
      <c r="A393" s="16" t="str">
        <f>'пр.4 вед.стр.'!A393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3" s="20" t="s">
        <v>65</v>
      </c>
      <c r="C393" s="20" t="s">
        <v>62</v>
      </c>
      <c r="D393" s="97" t="str">
        <f>'пр.4 вед.стр.'!E393</f>
        <v>7Р 0 02 75010</v>
      </c>
      <c r="E393" s="97"/>
      <c r="F393" s="59">
        <f>F394</f>
        <v>2216.6</v>
      </c>
      <c r="G393" s="59">
        <f t="shared" ref="G393:H394" si="178">G394</f>
        <v>2216.6</v>
      </c>
      <c r="H393" s="59">
        <f t="shared" si="178"/>
        <v>0</v>
      </c>
      <c r="I393" s="190">
        <f t="shared" si="151"/>
        <v>100</v>
      </c>
    </row>
    <row r="394" spans="1:9" ht="25.5">
      <c r="A394" s="16" t="str">
        <f>'пр.4 вед.стр.'!A394</f>
        <v>Предоставление субсидий бюджетным, автономным учреждениям и иным некоммерческим организациям</v>
      </c>
      <c r="B394" s="20" t="s">
        <v>65</v>
      </c>
      <c r="C394" s="20" t="s">
        <v>62</v>
      </c>
      <c r="D394" s="97" t="str">
        <f>'пр.4 вед.стр.'!E394</f>
        <v>7Р 0 02 75010</v>
      </c>
      <c r="E394" s="97" t="str">
        <f>'пр.4 вед.стр.'!F394</f>
        <v>600</v>
      </c>
      <c r="F394" s="59">
        <f>F395</f>
        <v>2216.6</v>
      </c>
      <c r="G394" s="59">
        <f t="shared" si="178"/>
        <v>2216.6</v>
      </c>
      <c r="H394" s="59">
        <f t="shared" si="178"/>
        <v>0</v>
      </c>
      <c r="I394" s="190">
        <f t="shared" ref="I394:I457" si="179">G394/F394*100</f>
        <v>100</v>
      </c>
    </row>
    <row r="395" spans="1:9">
      <c r="A395" s="16" t="str">
        <f>'пр.4 вед.стр.'!A395</f>
        <v>Субсидии бюджетным учреждениям</v>
      </c>
      <c r="B395" s="20" t="s">
        <v>65</v>
      </c>
      <c r="C395" s="20" t="s">
        <v>62</v>
      </c>
      <c r="D395" s="97" t="str">
        <f>'пр.4 вед.стр.'!E395</f>
        <v>7Р 0 02 75010</v>
      </c>
      <c r="E395" s="97" t="str">
        <f>'пр.4 вед.стр.'!F395</f>
        <v>610</v>
      </c>
      <c r="F395" s="59">
        <f>'пр.4 вед.стр.'!G395</f>
        <v>2216.6</v>
      </c>
      <c r="G395" s="59">
        <f>'пр.4 вед.стр.'!H395</f>
        <v>2216.6</v>
      </c>
      <c r="H395" s="59">
        <f>'пр.4 вед.стр.'!I395</f>
        <v>0</v>
      </c>
      <c r="I395" s="190">
        <f t="shared" si="179"/>
        <v>100</v>
      </c>
    </row>
    <row r="396" spans="1:9" ht="25.5">
      <c r="A396" s="28" t="str">
        <f>'пр.4 вед.стр.'!A396</f>
        <v>Муниципальная  программа  "Здоровье обучающихся и воспитанников в Сусуманском городском округе  на 2018- 2022 годы"</v>
      </c>
      <c r="B396" s="20" t="s">
        <v>65</v>
      </c>
      <c r="C396" s="20" t="s">
        <v>62</v>
      </c>
      <c r="D396" s="102" t="str">
        <f>'пр.4 вед.стр.'!E396</f>
        <v xml:space="preserve">7Ю 0 00 00000 </v>
      </c>
      <c r="E396" s="97"/>
      <c r="F396" s="59">
        <f>F397</f>
        <v>75.400000000000006</v>
      </c>
      <c r="G396" s="59">
        <f t="shared" ref="G396:H399" si="180">G397</f>
        <v>75.3</v>
      </c>
      <c r="H396" s="59">
        <f t="shared" si="180"/>
        <v>0.10000000000000853</v>
      </c>
      <c r="I396" s="190">
        <f t="shared" si="179"/>
        <v>99.867374005305038</v>
      </c>
    </row>
    <row r="397" spans="1:9" ht="25.5">
      <c r="A397" s="28" t="str">
        <f>'пр.4 вед.стр.'!A397</f>
        <v>Основное мероприятие "Совершенствование системы укрепления здоровья учащихся и воспитанников образовательных учреждений"</v>
      </c>
      <c r="B397" s="20" t="s">
        <v>65</v>
      </c>
      <c r="C397" s="20" t="s">
        <v>62</v>
      </c>
      <c r="D397" s="102" t="str">
        <f>'пр.4 вед.стр.'!E397</f>
        <v xml:space="preserve">7Ю 0 01 00000 </v>
      </c>
      <c r="E397" s="97"/>
      <c r="F397" s="59">
        <f>F398</f>
        <v>75.400000000000006</v>
      </c>
      <c r="G397" s="59">
        <f t="shared" si="180"/>
        <v>75.3</v>
      </c>
      <c r="H397" s="59">
        <f t="shared" si="180"/>
        <v>0.10000000000000853</v>
      </c>
      <c r="I397" s="190">
        <f t="shared" si="179"/>
        <v>99.867374005305038</v>
      </c>
    </row>
    <row r="398" spans="1:9">
      <c r="A398" s="28" t="str">
        <f>'пр.4 вед.стр.'!A398</f>
        <v>Укрепление материально- технической базы медицинских кабинетов</v>
      </c>
      <c r="B398" s="20" t="s">
        <v>65</v>
      </c>
      <c r="C398" s="20" t="s">
        <v>62</v>
      </c>
      <c r="D398" s="102" t="str">
        <f>'пр.4 вед.стр.'!E398</f>
        <v xml:space="preserve">7Ю 0 01 92520 </v>
      </c>
      <c r="E398" s="97"/>
      <c r="F398" s="59">
        <f>F399</f>
        <v>75.400000000000006</v>
      </c>
      <c r="G398" s="59">
        <f t="shared" si="180"/>
        <v>75.3</v>
      </c>
      <c r="H398" s="59">
        <f t="shared" si="180"/>
        <v>0.10000000000000853</v>
      </c>
      <c r="I398" s="190">
        <f t="shared" si="179"/>
        <v>99.867374005305038</v>
      </c>
    </row>
    <row r="399" spans="1:9" ht="25.5">
      <c r="A399" s="28" t="str">
        <f>'пр.4 вед.стр.'!A399</f>
        <v>Предоставление субсидий бюджетным, автономным учреждениям и иным некоммерческим организациям</v>
      </c>
      <c r="B399" s="20" t="s">
        <v>65</v>
      </c>
      <c r="C399" s="20" t="s">
        <v>62</v>
      </c>
      <c r="D399" s="102" t="str">
        <f>'пр.4 вед.стр.'!E399</f>
        <v xml:space="preserve">7Ю 0 01 92520 </v>
      </c>
      <c r="E399" s="97" t="str">
        <f>'пр.4 вед.стр.'!F399</f>
        <v>600</v>
      </c>
      <c r="F399" s="59">
        <f>F400</f>
        <v>75.400000000000006</v>
      </c>
      <c r="G399" s="59">
        <f t="shared" si="180"/>
        <v>75.3</v>
      </c>
      <c r="H399" s="59">
        <f t="shared" si="180"/>
        <v>0.10000000000000853</v>
      </c>
      <c r="I399" s="190">
        <f t="shared" si="179"/>
        <v>99.867374005305038</v>
      </c>
    </row>
    <row r="400" spans="1:9">
      <c r="A400" s="28" t="str">
        <f>'пр.4 вед.стр.'!A400</f>
        <v>Субсидии бюджетным учреждениям</v>
      </c>
      <c r="B400" s="20" t="s">
        <v>65</v>
      </c>
      <c r="C400" s="20" t="s">
        <v>62</v>
      </c>
      <c r="D400" s="102" t="str">
        <f>'пр.4 вед.стр.'!E400</f>
        <v xml:space="preserve">7Ю 0 01 92520 </v>
      </c>
      <c r="E400" s="97" t="str">
        <f>'пр.4 вед.стр.'!F400</f>
        <v>610</v>
      </c>
      <c r="F400" s="59">
        <f>'пр.4 вед.стр.'!G400</f>
        <v>75.400000000000006</v>
      </c>
      <c r="G400" s="59">
        <f>'пр.4 вед.стр.'!H400</f>
        <v>75.3</v>
      </c>
      <c r="H400" s="59">
        <f>'пр.4 вед.стр.'!I400</f>
        <v>0.10000000000000853</v>
      </c>
      <c r="I400" s="190">
        <f t="shared" si="179"/>
        <v>99.867374005305038</v>
      </c>
    </row>
    <row r="401" spans="1:9">
      <c r="A401" s="16" t="s">
        <v>55</v>
      </c>
      <c r="B401" s="20" t="s">
        <v>65</v>
      </c>
      <c r="C401" s="20" t="s">
        <v>62</v>
      </c>
      <c r="D401" s="97" t="s">
        <v>455</v>
      </c>
      <c r="E401" s="97"/>
      <c r="F401" s="59">
        <f>F402+F405+F408</f>
        <v>13912.5</v>
      </c>
      <c r="G401" s="59">
        <f t="shared" ref="G401:H401" si="181">G402+G405+G408</f>
        <v>13866.4</v>
      </c>
      <c r="H401" s="59">
        <f t="shared" si="181"/>
        <v>46.099999999999682</v>
      </c>
      <c r="I401" s="190">
        <f t="shared" si="179"/>
        <v>99.668643306379153</v>
      </c>
    </row>
    <row r="402" spans="1:9" ht="25.5">
      <c r="A402" s="16" t="s">
        <v>183</v>
      </c>
      <c r="B402" s="20" t="s">
        <v>65</v>
      </c>
      <c r="C402" s="20" t="s">
        <v>62</v>
      </c>
      <c r="D402" s="97" t="s">
        <v>456</v>
      </c>
      <c r="E402" s="97"/>
      <c r="F402" s="59">
        <f>F403</f>
        <v>12281.5</v>
      </c>
      <c r="G402" s="59">
        <f t="shared" ref="G402:H403" si="182">G403</f>
        <v>12246.6</v>
      </c>
      <c r="H402" s="59">
        <f t="shared" si="182"/>
        <v>34.899999999999636</v>
      </c>
      <c r="I402" s="190">
        <f t="shared" si="179"/>
        <v>99.715832756585115</v>
      </c>
    </row>
    <row r="403" spans="1:9" ht="25.5">
      <c r="A403" s="16" t="s">
        <v>93</v>
      </c>
      <c r="B403" s="20" t="s">
        <v>65</v>
      </c>
      <c r="C403" s="20" t="s">
        <v>62</v>
      </c>
      <c r="D403" s="97" t="s">
        <v>456</v>
      </c>
      <c r="E403" s="97" t="s">
        <v>94</v>
      </c>
      <c r="F403" s="59">
        <f>F404</f>
        <v>12281.5</v>
      </c>
      <c r="G403" s="59">
        <f t="shared" si="182"/>
        <v>12246.6</v>
      </c>
      <c r="H403" s="59">
        <f t="shared" si="182"/>
        <v>34.899999999999636</v>
      </c>
      <c r="I403" s="190">
        <f t="shared" si="179"/>
        <v>99.715832756585115</v>
      </c>
    </row>
    <row r="404" spans="1:9">
      <c r="A404" s="16" t="s">
        <v>97</v>
      </c>
      <c r="B404" s="20" t="s">
        <v>65</v>
      </c>
      <c r="C404" s="20" t="s">
        <v>62</v>
      </c>
      <c r="D404" s="97" t="s">
        <v>456</v>
      </c>
      <c r="E404" s="97" t="s">
        <v>98</v>
      </c>
      <c r="F404" s="59">
        <f>'пр.4 вед.стр.'!G404</f>
        <v>12281.5</v>
      </c>
      <c r="G404" s="59">
        <f>'пр.4 вед.стр.'!H404</f>
        <v>12246.6</v>
      </c>
      <c r="H404" s="59">
        <f>'пр.4 вед.стр.'!I404</f>
        <v>34.899999999999636</v>
      </c>
      <c r="I404" s="190">
        <f t="shared" si="179"/>
        <v>99.715832756585115</v>
      </c>
    </row>
    <row r="405" spans="1:9" ht="51">
      <c r="A405" s="16" t="s">
        <v>202</v>
      </c>
      <c r="B405" s="20" t="s">
        <v>65</v>
      </c>
      <c r="C405" s="20" t="s">
        <v>62</v>
      </c>
      <c r="D405" s="97" t="s">
        <v>457</v>
      </c>
      <c r="E405" s="97"/>
      <c r="F405" s="59">
        <f>F406</f>
        <v>1485</v>
      </c>
      <c r="G405" s="59">
        <f t="shared" ref="G405:H406" si="183">G406</f>
        <v>1474.3</v>
      </c>
      <c r="H405" s="59">
        <f t="shared" si="183"/>
        <v>10.700000000000045</v>
      </c>
      <c r="I405" s="190">
        <f t="shared" si="179"/>
        <v>99.279461279461273</v>
      </c>
    </row>
    <row r="406" spans="1:9" ht="25.5">
      <c r="A406" s="16" t="s">
        <v>93</v>
      </c>
      <c r="B406" s="20" t="s">
        <v>65</v>
      </c>
      <c r="C406" s="20" t="s">
        <v>62</v>
      </c>
      <c r="D406" s="97" t="s">
        <v>457</v>
      </c>
      <c r="E406" s="97" t="s">
        <v>94</v>
      </c>
      <c r="F406" s="59">
        <f>F407</f>
        <v>1485</v>
      </c>
      <c r="G406" s="59">
        <f t="shared" si="183"/>
        <v>1474.3</v>
      </c>
      <c r="H406" s="59">
        <f t="shared" si="183"/>
        <v>10.700000000000045</v>
      </c>
      <c r="I406" s="190">
        <f t="shared" si="179"/>
        <v>99.279461279461273</v>
      </c>
    </row>
    <row r="407" spans="1:9">
      <c r="A407" s="16" t="s">
        <v>97</v>
      </c>
      <c r="B407" s="20" t="s">
        <v>65</v>
      </c>
      <c r="C407" s="20" t="s">
        <v>62</v>
      </c>
      <c r="D407" s="97" t="s">
        <v>457</v>
      </c>
      <c r="E407" s="97" t="s">
        <v>98</v>
      </c>
      <c r="F407" s="59">
        <f>'пр.4 вед.стр.'!G407</f>
        <v>1485</v>
      </c>
      <c r="G407" s="59">
        <f>'пр.4 вед.стр.'!H407</f>
        <v>1474.3</v>
      </c>
      <c r="H407" s="59">
        <f>'пр.4 вед.стр.'!I407</f>
        <v>10.700000000000045</v>
      </c>
      <c r="I407" s="190">
        <f t="shared" si="179"/>
        <v>99.279461279461273</v>
      </c>
    </row>
    <row r="408" spans="1:9">
      <c r="A408" s="16" t="s">
        <v>174</v>
      </c>
      <c r="B408" s="20" t="s">
        <v>65</v>
      </c>
      <c r="C408" s="20" t="s">
        <v>62</v>
      </c>
      <c r="D408" s="97" t="s">
        <v>458</v>
      </c>
      <c r="E408" s="97"/>
      <c r="F408" s="59">
        <f>F409</f>
        <v>146</v>
      </c>
      <c r="G408" s="59">
        <f t="shared" ref="G408:H409" si="184">G409</f>
        <v>145.5</v>
      </c>
      <c r="H408" s="59">
        <f t="shared" si="184"/>
        <v>0.5</v>
      </c>
      <c r="I408" s="190">
        <f t="shared" si="179"/>
        <v>99.657534246575338</v>
      </c>
    </row>
    <row r="409" spans="1:9" ht="25.5">
      <c r="A409" s="16" t="s">
        <v>93</v>
      </c>
      <c r="B409" s="20" t="s">
        <v>65</v>
      </c>
      <c r="C409" s="20" t="s">
        <v>62</v>
      </c>
      <c r="D409" s="97" t="s">
        <v>458</v>
      </c>
      <c r="E409" s="97" t="s">
        <v>94</v>
      </c>
      <c r="F409" s="59">
        <f>F410</f>
        <v>146</v>
      </c>
      <c r="G409" s="59">
        <f t="shared" si="184"/>
        <v>145.5</v>
      </c>
      <c r="H409" s="59">
        <f t="shared" si="184"/>
        <v>0.5</v>
      </c>
      <c r="I409" s="190">
        <f t="shared" si="179"/>
        <v>99.657534246575338</v>
      </c>
    </row>
    <row r="410" spans="1:9">
      <c r="A410" s="16" t="s">
        <v>97</v>
      </c>
      <c r="B410" s="20" t="s">
        <v>65</v>
      </c>
      <c r="C410" s="20" t="s">
        <v>62</v>
      </c>
      <c r="D410" s="97" t="s">
        <v>458</v>
      </c>
      <c r="E410" s="97" t="s">
        <v>98</v>
      </c>
      <c r="F410" s="59">
        <f>'пр.4 вед.стр.'!G410</f>
        <v>146</v>
      </c>
      <c r="G410" s="59">
        <f>'пр.4 вед.стр.'!H410</f>
        <v>145.5</v>
      </c>
      <c r="H410" s="59">
        <f>'пр.4 вед.стр.'!I410</f>
        <v>0.5</v>
      </c>
      <c r="I410" s="190">
        <f t="shared" si="179"/>
        <v>99.657534246575338</v>
      </c>
    </row>
    <row r="411" spans="1:9">
      <c r="A411" s="15" t="s">
        <v>9</v>
      </c>
      <c r="B411" s="31" t="s">
        <v>65</v>
      </c>
      <c r="C411" s="31" t="s">
        <v>63</v>
      </c>
      <c r="D411" s="100"/>
      <c r="E411" s="100"/>
      <c r="F411" s="143">
        <f>F413+F421+F441+F468+F488</f>
        <v>197101.59999999998</v>
      </c>
      <c r="G411" s="143">
        <f t="shared" ref="G411:H411" si="185">G413+G421+G441+G468+G488</f>
        <v>196512.80000000002</v>
      </c>
      <c r="H411" s="143">
        <f t="shared" si="185"/>
        <v>588.79999999999393</v>
      </c>
      <c r="I411" s="190">
        <f t="shared" si="179"/>
        <v>99.701270816675276</v>
      </c>
    </row>
    <row r="412" spans="1:9">
      <c r="A412" s="16" t="s">
        <v>430</v>
      </c>
      <c r="B412" s="20" t="s">
        <v>65</v>
      </c>
      <c r="C412" s="20" t="s">
        <v>63</v>
      </c>
      <c r="D412" s="102" t="s">
        <v>431</v>
      </c>
      <c r="E412" s="97"/>
      <c r="F412" s="59">
        <f>F413+F421+F441+F468</f>
        <v>158064.4</v>
      </c>
      <c r="G412" s="59">
        <f t="shared" ref="G412:H412" si="186">G413+G421+G441+G468</f>
        <v>157800.20000000001</v>
      </c>
      <c r="H412" s="59">
        <f t="shared" si="186"/>
        <v>264.19999999999413</v>
      </c>
      <c r="I412" s="190">
        <f t="shared" si="179"/>
        <v>99.832852938422576</v>
      </c>
    </row>
    <row r="413" spans="1:9" ht="38.25">
      <c r="A413" s="28" t="str">
        <f>'пр.4 вед.стр.'!A413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413" s="20" t="s">
        <v>65</v>
      </c>
      <c r="C413" s="19" t="s">
        <v>63</v>
      </c>
      <c r="D413" s="102" t="str">
        <f>'пр.4 вед.стр.'!E413</f>
        <v xml:space="preserve">7Б 0 00 00000 </v>
      </c>
      <c r="E413" s="97"/>
      <c r="F413" s="59">
        <f>F414</f>
        <v>987.4</v>
      </c>
      <c r="G413" s="59">
        <f t="shared" ref="G413:H413" si="187">G414</f>
        <v>949.4</v>
      </c>
      <c r="H413" s="59">
        <f t="shared" si="187"/>
        <v>38</v>
      </c>
      <c r="I413" s="190">
        <f t="shared" si="179"/>
        <v>96.151509013570987</v>
      </c>
    </row>
    <row r="414" spans="1:9" ht="38.25">
      <c r="A414" s="28" t="str">
        <f>'пр.4 вед.стр.'!A414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4" s="20" t="s">
        <v>65</v>
      </c>
      <c r="C414" s="20" t="s">
        <v>63</v>
      </c>
      <c r="D414" s="102" t="str">
        <f>'пр.4 вед.стр.'!E414</f>
        <v xml:space="preserve">7Б 0 01 00000 </v>
      </c>
      <c r="E414" s="97"/>
      <c r="F414" s="59">
        <f>F415+F418</f>
        <v>987.4</v>
      </c>
      <c r="G414" s="59">
        <f t="shared" ref="G414:H414" si="188">G415+G418</f>
        <v>949.4</v>
      </c>
      <c r="H414" s="59">
        <f t="shared" si="188"/>
        <v>38</v>
      </c>
      <c r="I414" s="190">
        <f t="shared" si="179"/>
        <v>96.151509013570987</v>
      </c>
    </row>
    <row r="415" spans="1:9">
      <c r="A415" s="28" t="str">
        <f>'пр.4 вед.стр.'!A415</f>
        <v>Обслуживание систем видеонаблюдения, охранной сигнализации</v>
      </c>
      <c r="B415" s="20" t="s">
        <v>65</v>
      </c>
      <c r="C415" s="20" t="s">
        <v>63</v>
      </c>
      <c r="D415" s="102" t="str">
        <f>'пр.4 вед.стр.'!E415</f>
        <v xml:space="preserve">7Б 0 01 91600 </v>
      </c>
      <c r="E415" s="97"/>
      <c r="F415" s="59">
        <f>F416</f>
        <v>626.4</v>
      </c>
      <c r="G415" s="59">
        <f t="shared" ref="G415:H416" si="189">G416</f>
        <v>588.5</v>
      </c>
      <c r="H415" s="59">
        <f t="shared" si="189"/>
        <v>37.899999999999977</v>
      </c>
      <c r="I415" s="190">
        <f t="shared" si="179"/>
        <v>93.949553001277138</v>
      </c>
    </row>
    <row r="416" spans="1:9" ht="25.5">
      <c r="A416" s="28" t="str">
        <f>'пр.4 вед.стр.'!A416</f>
        <v>Предоставление субсидий бюджетным, автономным учреждениям и иным некоммерческим организациям</v>
      </c>
      <c r="B416" s="20" t="s">
        <v>65</v>
      </c>
      <c r="C416" s="20" t="s">
        <v>63</v>
      </c>
      <c r="D416" s="102" t="str">
        <f>'пр.4 вед.стр.'!E416</f>
        <v xml:space="preserve">7Б 0 01 91600 </v>
      </c>
      <c r="E416" s="97" t="str">
        <f>'пр.4 вед.стр.'!F416</f>
        <v>600</v>
      </c>
      <c r="F416" s="59">
        <f>F417</f>
        <v>626.4</v>
      </c>
      <c r="G416" s="59">
        <f t="shared" si="189"/>
        <v>588.5</v>
      </c>
      <c r="H416" s="59">
        <f t="shared" si="189"/>
        <v>37.899999999999977</v>
      </c>
      <c r="I416" s="190">
        <f t="shared" si="179"/>
        <v>93.949553001277138</v>
      </c>
    </row>
    <row r="417" spans="1:9">
      <c r="A417" s="28" t="str">
        <f>'пр.4 вед.стр.'!A417</f>
        <v>Субсидии бюджетным учреждениям</v>
      </c>
      <c r="B417" s="20" t="s">
        <v>65</v>
      </c>
      <c r="C417" s="20" t="s">
        <v>63</v>
      </c>
      <c r="D417" s="102" t="str">
        <f>'пр.4 вед.стр.'!E417</f>
        <v xml:space="preserve">7Б 0 01 91600 </v>
      </c>
      <c r="E417" s="97" t="str">
        <f>'пр.4 вед.стр.'!F417</f>
        <v>610</v>
      </c>
      <c r="F417" s="59">
        <f>'пр.4 вед.стр.'!G417</f>
        <v>626.4</v>
      </c>
      <c r="G417" s="59">
        <f>'пр.4 вед.стр.'!H417</f>
        <v>588.5</v>
      </c>
      <c r="H417" s="59">
        <f>'пр.4 вед.стр.'!I417</f>
        <v>37.899999999999977</v>
      </c>
      <c r="I417" s="190">
        <f t="shared" si="179"/>
        <v>93.949553001277138</v>
      </c>
    </row>
    <row r="418" spans="1:9">
      <c r="A418" s="28" t="str">
        <f>'пр.4 вед.стр.'!A418</f>
        <v>Установка пропускных систем</v>
      </c>
      <c r="B418" s="20" t="s">
        <v>65</v>
      </c>
      <c r="C418" s="20" t="s">
        <v>63</v>
      </c>
      <c r="D418" s="102" t="str">
        <f>'пр.4 вед.стр.'!E418</f>
        <v>7Б 0 01 93300</v>
      </c>
      <c r="E418" s="97"/>
      <c r="F418" s="59">
        <f>F419</f>
        <v>361</v>
      </c>
      <c r="G418" s="59">
        <f t="shared" ref="G418:H419" si="190">G419</f>
        <v>360.9</v>
      </c>
      <c r="H418" s="59">
        <f t="shared" si="190"/>
        <v>0.10000000000002274</v>
      </c>
      <c r="I418" s="190">
        <f t="shared" si="179"/>
        <v>99.97229916897507</v>
      </c>
    </row>
    <row r="419" spans="1:9" ht="25.5">
      <c r="A419" s="28" t="str">
        <f>'пр.4 вед.стр.'!A419</f>
        <v>Предоставление субсидий бюджетным, автономным учреждениям и иным некоммерческим организациям</v>
      </c>
      <c r="B419" s="20" t="s">
        <v>65</v>
      </c>
      <c r="C419" s="20" t="s">
        <v>63</v>
      </c>
      <c r="D419" s="102" t="str">
        <f>'пр.4 вед.стр.'!E419</f>
        <v>7Б 0 01 93300</v>
      </c>
      <c r="E419" s="97" t="str">
        <f>'пр.4 вед.стр.'!F419</f>
        <v>600</v>
      </c>
      <c r="F419" s="59">
        <f>F420</f>
        <v>361</v>
      </c>
      <c r="G419" s="59">
        <f t="shared" si="190"/>
        <v>360.9</v>
      </c>
      <c r="H419" s="59">
        <f t="shared" si="190"/>
        <v>0.10000000000002274</v>
      </c>
      <c r="I419" s="190">
        <f t="shared" si="179"/>
        <v>99.97229916897507</v>
      </c>
    </row>
    <row r="420" spans="1:9">
      <c r="A420" s="28" t="str">
        <f>'пр.4 вед.стр.'!A420</f>
        <v>Субсидии бюджетным учреждениям</v>
      </c>
      <c r="B420" s="20" t="s">
        <v>65</v>
      </c>
      <c r="C420" s="20" t="s">
        <v>63</v>
      </c>
      <c r="D420" s="102" t="str">
        <f>'пр.4 вед.стр.'!E420</f>
        <v>7Б 0 01 93300</v>
      </c>
      <c r="E420" s="97" t="str">
        <f>'пр.4 вед.стр.'!F420</f>
        <v>610</v>
      </c>
      <c r="F420" s="59">
        <f>'пр.4 вед.стр.'!G420</f>
        <v>361</v>
      </c>
      <c r="G420" s="59">
        <f>'пр.4 вед.стр.'!H420</f>
        <v>360.9</v>
      </c>
      <c r="H420" s="59">
        <f>'пр.4 вед.стр.'!I420</f>
        <v>0.10000000000002274</v>
      </c>
      <c r="I420" s="190">
        <f t="shared" si="179"/>
        <v>99.97229916897507</v>
      </c>
    </row>
    <row r="421" spans="1:9" ht="25.5">
      <c r="A421" s="28" t="str">
        <f>'пр.4 вед.стр.'!A421</f>
        <v>Муниципальная программа  "Пожарная безопасность в Сусуманском городском округе на 2018- 2022 годы"</v>
      </c>
      <c r="B421" s="20" t="s">
        <v>65</v>
      </c>
      <c r="C421" s="20" t="s">
        <v>63</v>
      </c>
      <c r="D421" s="102" t="str">
        <f>'пр.4 вед.стр.'!E421</f>
        <v xml:space="preserve">7П 0 00 00000 </v>
      </c>
      <c r="E421" s="97"/>
      <c r="F421" s="59">
        <f>F422</f>
        <v>1353</v>
      </c>
      <c r="G421" s="59">
        <f t="shared" ref="G421:H421" si="191">G422</f>
        <v>1337.3</v>
      </c>
      <c r="H421" s="59">
        <f t="shared" si="191"/>
        <v>15.699999999999953</v>
      </c>
      <c r="I421" s="190">
        <f t="shared" si="179"/>
        <v>98.839615668883965</v>
      </c>
    </row>
    <row r="422" spans="1:9" ht="38.25">
      <c r="A422" s="28" t="str">
        <f>'пр.4 вед.стр.'!A422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2" s="20" t="s">
        <v>65</v>
      </c>
      <c r="C422" s="20" t="s">
        <v>63</v>
      </c>
      <c r="D422" s="102" t="str">
        <f>'пр.4 вед.стр.'!E422</f>
        <v xml:space="preserve">7П 0 01 00000 </v>
      </c>
      <c r="E422" s="97"/>
      <c r="F422" s="59">
        <f>F423+F426+F429+F432+F435+F438</f>
        <v>1353</v>
      </c>
      <c r="G422" s="59">
        <f t="shared" ref="G422:H422" si="192">G423+G426+G429+G432+G435+G438</f>
        <v>1337.3</v>
      </c>
      <c r="H422" s="59">
        <f t="shared" si="192"/>
        <v>15.699999999999953</v>
      </c>
      <c r="I422" s="190">
        <f t="shared" si="179"/>
        <v>98.839615668883965</v>
      </c>
    </row>
    <row r="423" spans="1:9" ht="38.25">
      <c r="A423" s="28" t="str">
        <f>'пр.4 вед.стр.'!A423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3" s="20" t="s">
        <v>65</v>
      </c>
      <c r="C423" s="20" t="s">
        <v>63</v>
      </c>
      <c r="D423" s="102" t="str">
        <f>'пр.4 вед.стр.'!E423</f>
        <v xml:space="preserve">7П 0 01 94100 </v>
      </c>
      <c r="E423" s="97"/>
      <c r="F423" s="59">
        <f>F424</f>
        <v>808.8</v>
      </c>
      <c r="G423" s="59">
        <f t="shared" ref="G423:H424" si="193">G424</f>
        <v>808.6</v>
      </c>
      <c r="H423" s="59">
        <f t="shared" si="193"/>
        <v>0.19999999999993179</v>
      </c>
      <c r="I423" s="190">
        <f t="shared" si="179"/>
        <v>99.975272007912963</v>
      </c>
    </row>
    <row r="424" spans="1:9" ht="25.5">
      <c r="A424" s="28" t="str">
        <f>'пр.4 вед.стр.'!A424</f>
        <v>Предоставление субсидий бюджетным, автономным учреждениям и иным некоммерческим организациям</v>
      </c>
      <c r="B424" s="20" t="s">
        <v>65</v>
      </c>
      <c r="C424" s="20" t="s">
        <v>63</v>
      </c>
      <c r="D424" s="102" t="str">
        <f>'пр.4 вед.стр.'!E424</f>
        <v xml:space="preserve">7П 0 01 94100 </v>
      </c>
      <c r="E424" s="97" t="str">
        <f>'пр.4 вед.стр.'!F424</f>
        <v>600</v>
      </c>
      <c r="F424" s="59">
        <f>F425</f>
        <v>808.8</v>
      </c>
      <c r="G424" s="59">
        <f t="shared" si="193"/>
        <v>808.6</v>
      </c>
      <c r="H424" s="59">
        <f t="shared" si="193"/>
        <v>0.19999999999993179</v>
      </c>
      <c r="I424" s="190">
        <f t="shared" si="179"/>
        <v>99.975272007912963</v>
      </c>
    </row>
    <row r="425" spans="1:9">
      <c r="A425" s="28" t="str">
        <f>'пр.4 вед.стр.'!A425</f>
        <v>Субсидии бюджетным учреждениям</v>
      </c>
      <c r="B425" s="20" t="s">
        <v>65</v>
      </c>
      <c r="C425" s="20" t="s">
        <v>63</v>
      </c>
      <c r="D425" s="102" t="str">
        <f>'пр.4 вед.стр.'!E425</f>
        <v xml:space="preserve">7П 0 01 94100 </v>
      </c>
      <c r="E425" s="97" t="str">
        <f>'пр.4 вед.стр.'!F425</f>
        <v>610</v>
      </c>
      <c r="F425" s="59">
        <f>'пр.4 вед.стр.'!G425</f>
        <v>808.8</v>
      </c>
      <c r="G425" s="59">
        <f>'пр.4 вед.стр.'!H425</f>
        <v>808.6</v>
      </c>
      <c r="H425" s="59">
        <f>'пр.4 вед.стр.'!I425</f>
        <v>0.19999999999993179</v>
      </c>
      <c r="I425" s="190">
        <f t="shared" si="179"/>
        <v>99.975272007912963</v>
      </c>
    </row>
    <row r="426" spans="1:9">
      <c r="A426" s="28" t="str">
        <f>'пр.4 вед.стр.'!A426</f>
        <v>Обработка сгораемых конструкций огнезащитными составами</v>
      </c>
      <c r="B426" s="20" t="s">
        <v>65</v>
      </c>
      <c r="C426" s="20" t="s">
        <v>63</v>
      </c>
      <c r="D426" s="102" t="str">
        <f>'пр.4 вед.стр.'!E426</f>
        <v xml:space="preserve">7П 0 01 94200 </v>
      </c>
      <c r="E426" s="97"/>
      <c r="F426" s="59">
        <f>F427</f>
        <v>124.2</v>
      </c>
      <c r="G426" s="59">
        <f t="shared" ref="G426:H427" si="194">G427</f>
        <v>124.2</v>
      </c>
      <c r="H426" s="59">
        <f t="shared" si="194"/>
        <v>0</v>
      </c>
      <c r="I426" s="190">
        <f t="shared" si="179"/>
        <v>100</v>
      </c>
    </row>
    <row r="427" spans="1:9" ht="25.5">
      <c r="A427" s="28" t="str">
        <f>'пр.4 вед.стр.'!A427</f>
        <v>Предоставление субсидий бюджетным, автономным учреждениям и иным некоммерческим организациям</v>
      </c>
      <c r="B427" s="20" t="s">
        <v>65</v>
      </c>
      <c r="C427" s="20" t="s">
        <v>63</v>
      </c>
      <c r="D427" s="102" t="str">
        <f>'пр.4 вед.стр.'!E427</f>
        <v xml:space="preserve">7П 0 01 94200 </v>
      </c>
      <c r="E427" s="97" t="str">
        <f>'пр.4 вед.стр.'!F427</f>
        <v>600</v>
      </c>
      <c r="F427" s="59">
        <f>F428</f>
        <v>124.2</v>
      </c>
      <c r="G427" s="59">
        <f t="shared" si="194"/>
        <v>124.2</v>
      </c>
      <c r="H427" s="59">
        <f t="shared" si="194"/>
        <v>0</v>
      </c>
      <c r="I427" s="190">
        <f t="shared" si="179"/>
        <v>100</v>
      </c>
    </row>
    <row r="428" spans="1:9">
      <c r="A428" s="28" t="str">
        <f>'пр.4 вед.стр.'!A428</f>
        <v>Субсидии бюджетным учреждениям</v>
      </c>
      <c r="B428" s="20" t="s">
        <v>65</v>
      </c>
      <c r="C428" s="20" t="s">
        <v>63</v>
      </c>
      <c r="D428" s="102" t="str">
        <f>'пр.4 вед.стр.'!E428</f>
        <v xml:space="preserve">7П 0 01 94200 </v>
      </c>
      <c r="E428" s="97" t="str">
        <f>'пр.4 вед.стр.'!F428</f>
        <v>610</v>
      </c>
      <c r="F428" s="59">
        <f>'пр.4 вед.стр.'!G428</f>
        <v>124.2</v>
      </c>
      <c r="G428" s="59">
        <f>'пр.4 вед.стр.'!H428</f>
        <v>124.2</v>
      </c>
      <c r="H428" s="59">
        <f>'пр.4 вед.стр.'!I428</f>
        <v>0</v>
      </c>
      <c r="I428" s="190">
        <f t="shared" si="179"/>
        <v>100</v>
      </c>
    </row>
    <row r="429" spans="1:9" ht="25.5">
      <c r="A429" s="28" t="str">
        <f>'пр.4 вед.стр.'!A429</f>
        <v>Проведение замеров сопротивления изоляции электросетей и электрооборудования</v>
      </c>
      <c r="B429" s="20" t="s">
        <v>65</v>
      </c>
      <c r="C429" s="20" t="s">
        <v>63</v>
      </c>
      <c r="D429" s="102" t="str">
        <f>'пр.4 вед.стр.'!E429</f>
        <v xml:space="preserve">7П 0 01 94400 </v>
      </c>
      <c r="E429" s="97"/>
      <c r="F429" s="59">
        <f>F430</f>
        <v>180.2</v>
      </c>
      <c r="G429" s="59">
        <f t="shared" ref="G429:H430" si="195">G430</f>
        <v>180.2</v>
      </c>
      <c r="H429" s="59">
        <f t="shared" si="195"/>
        <v>0</v>
      </c>
      <c r="I429" s="190">
        <f t="shared" si="179"/>
        <v>100</v>
      </c>
    </row>
    <row r="430" spans="1:9" ht="25.5">
      <c r="A430" s="28" t="str">
        <f>'пр.4 вед.стр.'!A430</f>
        <v>Предоставление субсидий бюджетным, автономным учреждениям и иным некоммерческим организациям</v>
      </c>
      <c r="B430" s="20" t="s">
        <v>65</v>
      </c>
      <c r="C430" s="20" t="s">
        <v>63</v>
      </c>
      <c r="D430" s="102" t="str">
        <f>'пр.4 вед.стр.'!E430</f>
        <v xml:space="preserve">7П 0 01 94400 </v>
      </c>
      <c r="E430" s="97" t="str">
        <f>'пр.4 вед.стр.'!F430</f>
        <v>600</v>
      </c>
      <c r="F430" s="59">
        <f>F431</f>
        <v>180.2</v>
      </c>
      <c r="G430" s="59">
        <f t="shared" si="195"/>
        <v>180.2</v>
      </c>
      <c r="H430" s="59">
        <f t="shared" si="195"/>
        <v>0</v>
      </c>
      <c r="I430" s="190">
        <f t="shared" si="179"/>
        <v>100</v>
      </c>
    </row>
    <row r="431" spans="1:9">
      <c r="A431" s="28" t="str">
        <f>'пр.4 вед.стр.'!A431</f>
        <v>Субсидии бюджетным учреждениям</v>
      </c>
      <c r="B431" s="20" t="s">
        <v>65</v>
      </c>
      <c r="C431" s="20" t="s">
        <v>63</v>
      </c>
      <c r="D431" s="102" t="str">
        <f>'пр.4 вед.стр.'!E431</f>
        <v xml:space="preserve">7П 0 01 94400 </v>
      </c>
      <c r="E431" s="97" t="str">
        <f>'пр.4 вед.стр.'!F431</f>
        <v>610</v>
      </c>
      <c r="F431" s="59">
        <f>'пр.4 вед.стр.'!G431</f>
        <v>180.2</v>
      </c>
      <c r="G431" s="59">
        <f>'пр.4 вед.стр.'!H431</f>
        <v>180.2</v>
      </c>
      <c r="H431" s="59">
        <f>'пр.4 вед.стр.'!I431</f>
        <v>0</v>
      </c>
      <c r="I431" s="190">
        <f t="shared" si="179"/>
        <v>100</v>
      </c>
    </row>
    <row r="432" spans="1:9" ht="25.5">
      <c r="A432" s="28" t="str">
        <f>'пр.4 вед.стр.'!A432</f>
        <v>Проведение проверок исправности и ремонт систем противопожарного водоснабжения, приобретение и обслуживание гидрантов</v>
      </c>
      <c r="B432" s="20" t="s">
        <v>65</v>
      </c>
      <c r="C432" s="20" t="s">
        <v>63</v>
      </c>
      <c r="D432" s="102" t="str">
        <f>'пр.4 вед.стр.'!E432</f>
        <v xml:space="preserve">7П 0 01 94500 </v>
      </c>
      <c r="E432" s="97"/>
      <c r="F432" s="59">
        <f>F433</f>
        <v>65.5</v>
      </c>
      <c r="G432" s="59">
        <f t="shared" ref="G432:H433" si="196">G433</f>
        <v>50.6</v>
      </c>
      <c r="H432" s="59">
        <f t="shared" si="196"/>
        <v>14.899999999999999</v>
      </c>
      <c r="I432" s="190">
        <f t="shared" si="179"/>
        <v>77.251908396946561</v>
      </c>
    </row>
    <row r="433" spans="1:9" ht="25.5">
      <c r="A433" s="28" t="str">
        <f>'пр.4 вед.стр.'!A433</f>
        <v>Предоставление субсидий бюджетным, автономным учреждениям и иным некоммерческим организациям</v>
      </c>
      <c r="B433" s="20" t="s">
        <v>65</v>
      </c>
      <c r="C433" s="20" t="s">
        <v>63</v>
      </c>
      <c r="D433" s="102" t="str">
        <f>'пр.4 вед.стр.'!E433</f>
        <v xml:space="preserve">7П 0 01 94500 </v>
      </c>
      <c r="E433" s="97" t="str">
        <f>'пр.4 вед.стр.'!F433</f>
        <v>600</v>
      </c>
      <c r="F433" s="59">
        <f>F434</f>
        <v>65.5</v>
      </c>
      <c r="G433" s="59">
        <f t="shared" si="196"/>
        <v>50.6</v>
      </c>
      <c r="H433" s="59">
        <f t="shared" si="196"/>
        <v>14.899999999999999</v>
      </c>
      <c r="I433" s="190">
        <f t="shared" si="179"/>
        <v>77.251908396946561</v>
      </c>
    </row>
    <row r="434" spans="1:9">
      <c r="A434" s="28" t="str">
        <f>'пр.4 вед.стр.'!A434</f>
        <v>Субсидии бюджетным учреждениям</v>
      </c>
      <c r="B434" s="20" t="s">
        <v>65</v>
      </c>
      <c r="C434" s="20" t="s">
        <v>63</v>
      </c>
      <c r="D434" s="102" t="str">
        <f>'пр.4 вед.стр.'!E434</f>
        <v xml:space="preserve">7П 0 01 94500 </v>
      </c>
      <c r="E434" s="97" t="str">
        <f>'пр.4 вед.стр.'!F434</f>
        <v>610</v>
      </c>
      <c r="F434" s="59">
        <f>'пр.4 вед.стр.'!G434</f>
        <v>65.5</v>
      </c>
      <c r="G434" s="59">
        <f>'пр.4 вед.стр.'!H434</f>
        <v>50.6</v>
      </c>
      <c r="H434" s="59">
        <f>'пр.4 вед.стр.'!I434</f>
        <v>14.899999999999999</v>
      </c>
      <c r="I434" s="190">
        <f t="shared" si="179"/>
        <v>77.251908396946561</v>
      </c>
    </row>
    <row r="435" spans="1:9">
      <c r="A435" s="28" t="str">
        <f>'пр.4 вед.стр.'!A435</f>
        <v>Обучение сотрудников по пожарной безопасности</v>
      </c>
      <c r="B435" s="20" t="s">
        <v>65</v>
      </c>
      <c r="C435" s="20" t="s">
        <v>63</v>
      </c>
      <c r="D435" s="102" t="str">
        <f>'пр.4 вед.стр.'!E435</f>
        <v xml:space="preserve">7П 0 01 94510 </v>
      </c>
      <c r="E435" s="97"/>
      <c r="F435" s="59">
        <f>F436</f>
        <v>9</v>
      </c>
      <c r="G435" s="59">
        <f t="shared" ref="G435:H436" si="197">G436</f>
        <v>9</v>
      </c>
      <c r="H435" s="59">
        <f t="shared" si="197"/>
        <v>0</v>
      </c>
      <c r="I435" s="190">
        <f t="shared" si="179"/>
        <v>100</v>
      </c>
    </row>
    <row r="436" spans="1:9" ht="25.5">
      <c r="A436" s="28" t="str">
        <f>'пр.4 вед.стр.'!A436</f>
        <v>Предоставление субсидий бюджетным, автономным учреждениям и иным некоммерческим организациям</v>
      </c>
      <c r="B436" s="20" t="s">
        <v>65</v>
      </c>
      <c r="C436" s="20" t="s">
        <v>63</v>
      </c>
      <c r="D436" s="102" t="str">
        <f>'пр.4 вед.стр.'!E436</f>
        <v xml:space="preserve">7П 0 01 94510 </v>
      </c>
      <c r="E436" s="97" t="str">
        <f>'пр.4 вед.стр.'!F436</f>
        <v>600</v>
      </c>
      <c r="F436" s="59">
        <f>F437</f>
        <v>9</v>
      </c>
      <c r="G436" s="59">
        <f t="shared" si="197"/>
        <v>9</v>
      </c>
      <c r="H436" s="59">
        <f t="shared" si="197"/>
        <v>0</v>
      </c>
      <c r="I436" s="190">
        <f t="shared" si="179"/>
        <v>100</v>
      </c>
    </row>
    <row r="437" spans="1:9">
      <c r="A437" s="28" t="str">
        <f>'пр.4 вед.стр.'!A437</f>
        <v>Субсидии бюджетным учреждениям</v>
      </c>
      <c r="B437" s="20" t="s">
        <v>65</v>
      </c>
      <c r="C437" s="20" t="s">
        <v>63</v>
      </c>
      <c r="D437" s="102" t="str">
        <f>'пр.4 вед.стр.'!E437</f>
        <v xml:space="preserve">7П 0 01 94510 </v>
      </c>
      <c r="E437" s="97" t="str">
        <f>'пр.4 вед.стр.'!F437</f>
        <v>610</v>
      </c>
      <c r="F437" s="59">
        <f>'пр.4 вед.стр.'!G437</f>
        <v>9</v>
      </c>
      <c r="G437" s="59">
        <f>'пр.4 вед.стр.'!H437</f>
        <v>9</v>
      </c>
      <c r="H437" s="59">
        <f>'пр.4 вед.стр.'!I437</f>
        <v>0</v>
      </c>
      <c r="I437" s="190">
        <f t="shared" si="179"/>
        <v>100</v>
      </c>
    </row>
    <row r="438" spans="1:9">
      <c r="A438" s="28" t="str">
        <f>'пр.4 вед.стр.'!A438</f>
        <v>Установка противопожарных дверей на запасных выходах</v>
      </c>
      <c r="B438" s="20" t="s">
        <v>65</v>
      </c>
      <c r="C438" s="20" t="s">
        <v>63</v>
      </c>
      <c r="D438" s="102" t="str">
        <f>'пр.4 вед.стр.'!E438</f>
        <v>7П 0 01 94600</v>
      </c>
      <c r="E438" s="97"/>
      <c r="F438" s="59">
        <f>F439</f>
        <v>165.3</v>
      </c>
      <c r="G438" s="59">
        <f t="shared" ref="G438:H439" si="198">G439</f>
        <v>164.7</v>
      </c>
      <c r="H438" s="59">
        <f t="shared" si="198"/>
        <v>0.60000000000002274</v>
      </c>
      <c r="I438" s="190">
        <f t="shared" si="179"/>
        <v>99.637023593466409</v>
      </c>
    </row>
    <row r="439" spans="1:9" ht="25.5">
      <c r="A439" s="28" t="str">
        <f>'пр.4 вед.стр.'!A439</f>
        <v>Предоставление субсидий бюджетным, автономным учреждениям и иным некоммерческим организациям</v>
      </c>
      <c r="B439" s="20" t="s">
        <v>65</v>
      </c>
      <c r="C439" s="20" t="s">
        <v>63</v>
      </c>
      <c r="D439" s="102" t="str">
        <f>'пр.4 вед.стр.'!E439</f>
        <v>7П 0 01 94600</v>
      </c>
      <c r="E439" s="97" t="str">
        <f>'пр.4 вед.стр.'!F439</f>
        <v>600</v>
      </c>
      <c r="F439" s="59">
        <f>F440</f>
        <v>165.3</v>
      </c>
      <c r="G439" s="59">
        <f t="shared" si="198"/>
        <v>164.7</v>
      </c>
      <c r="H439" s="59">
        <f t="shared" si="198"/>
        <v>0.60000000000002274</v>
      </c>
      <c r="I439" s="190">
        <f t="shared" si="179"/>
        <v>99.637023593466409</v>
      </c>
    </row>
    <row r="440" spans="1:9">
      <c r="A440" s="28" t="str">
        <f>'пр.4 вед.стр.'!A440</f>
        <v>Субсидии бюджетным учреждениям</v>
      </c>
      <c r="B440" s="20" t="s">
        <v>65</v>
      </c>
      <c r="C440" s="20" t="s">
        <v>63</v>
      </c>
      <c r="D440" s="102" t="str">
        <f>'пр.4 вед.стр.'!E440</f>
        <v>7П 0 01 94600</v>
      </c>
      <c r="E440" s="97" t="str">
        <f>'пр.4 вед.стр.'!F440</f>
        <v>610</v>
      </c>
      <c r="F440" s="59">
        <f>'пр.4 вед.стр.'!G440</f>
        <v>165.3</v>
      </c>
      <c r="G440" s="59">
        <f>'пр.4 вед.стр.'!H440</f>
        <v>164.7</v>
      </c>
      <c r="H440" s="59">
        <f>'пр.4 вед.стр.'!I440</f>
        <v>0.60000000000002274</v>
      </c>
      <c r="I440" s="190">
        <f t="shared" si="179"/>
        <v>99.637023593466409</v>
      </c>
    </row>
    <row r="441" spans="1:9" ht="25.5">
      <c r="A441" s="28" t="str">
        <f>'пр.4 вед.стр.'!A441</f>
        <v>Муниципальная  программа  "Развитие образования в Сусуманском городском округе  на 2018- 2022 годы"</v>
      </c>
      <c r="B441" s="20" t="s">
        <v>65</v>
      </c>
      <c r="C441" s="20" t="s">
        <v>63</v>
      </c>
      <c r="D441" s="97" t="str">
        <f>'пр.4 вед.стр.'!E441</f>
        <v xml:space="preserve">7Р 0 00 00000 </v>
      </c>
      <c r="E441" s="100"/>
      <c r="F441" s="59">
        <f>F442+F464</f>
        <v>151672</v>
      </c>
      <c r="G441" s="59">
        <f t="shared" ref="G441:H441" si="199">G442+G464</f>
        <v>151493.1</v>
      </c>
      <c r="H441" s="59">
        <f t="shared" si="199"/>
        <v>178.89999999999412</v>
      </c>
      <c r="I441" s="190">
        <f t="shared" si="179"/>
        <v>99.882048103802944</v>
      </c>
    </row>
    <row r="442" spans="1:9">
      <c r="A442" s="16" t="str">
        <f>'пр.4 вед.стр.'!A442</f>
        <v>Основное мероприятие "Управление развитием отрасли образования"</v>
      </c>
      <c r="B442" s="20" t="s">
        <v>65</v>
      </c>
      <c r="C442" s="20" t="s">
        <v>63</v>
      </c>
      <c r="D442" s="97" t="str">
        <f>'пр.4 вед.стр.'!E442</f>
        <v>7Р 0 02 00000</v>
      </c>
      <c r="E442" s="100"/>
      <c r="F442" s="59">
        <f>F449+F452+F455+F458+F461+F443+F446</f>
        <v>151397</v>
      </c>
      <c r="G442" s="59">
        <f t="shared" ref="G442:H442" si="200">G449+G452+G455+G458+G461+G443+G446</f>
        <v>151220.6</v>
      </c>
      <c r="H442" s="59">
        <f t="shared" si="200"/>
        <v>176.39999999999412</v>
      </c>
      <c r="I442" s="190">
        <f t="shared" si="179"/>
        <v>99.883485141713507</v>
      </c>
    </row>
    <row r="443" spans="1:9" ht="76.5">
      <c r="A443" s="16" t="str">
        <f>'пр.4 вед.стр.'!A443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43" s="20" t="s">
        <v>65</v>
      </c>
      <c r="C443" s="20" t="s">
        <v>63</v>
      </c>
      <c r="D443" s="97" t="str">
        <f>'пр.4 вед.стр.'!E443</f>
        <v>7Р 0 02 73С20</v>
      </c>
      <c r="E443" s="100"/>
      <c r="F443" s="59">
        <f>F444</f>
        <v>2.2999999999999972</v>
      </c>
      <c r="G443" s="59">
        <f t="shared" ref="G443:H444" si="201">G444</f>
        <v>0</v>
      </c>
      <c r="H443" s="59">
        <f t="shared" si="201"/>
        <v>2.2999999999999972</v>
      </c>
      <c r="I443" s="190">
        <f t="shared" si="179"/>
        <v>0</v>
      </c>
    </row>
    <row r="444" spans="1:9" ht="25.5">
      <c r="A444" s="16" t="str">
        <f>'пр.4 вед.стр.'!A444</f>
        <v>Предоставление субсидий бюджетным, автономным учреждениям и иным некоммерческим организациям</v>
      </c>
      <c r="B444" s="20" t="s">
        <v>65</v>
      </c>
      <c r="C444" s="20" t="s">
        <v>63</v>
      </c>
      <c r="D444" s="97" t="str">
        <f>'пр.4 вед.стр.'!E444</f>
        <v>7Р 0 02 73С20</v>
      </c>
      <c r="E444" s="97" t="str">
        <f>'пр.4 вед.стр.'!F444</f>
        <v>600</v>
      </c>
      <c r="F444" s="59">
        <f>F445</f>
        <v>2.2999999999999972</v>
      </c>
      <c r="G444" s="59">
        <f t="shared" si="201"/>
        <v>0</v>
      </c>
      <c r="H444" s="59">
        <f t="shared" si="201"/>
        <v>2.2999999999999972</v>
      </c>
      <c r="I444" s="190">
        <f t="shared" si="179"/>
        <v>0</v>
      </c>
    </row>
    <row r="445" spans="1:9">
      <c r="A445" s="16" t="str">
        <f>'пр.4 вед.стр.'!A445</f>
        <v>Субсидии бюджетным учреждениям</v>
      </c>
      <c r="B445" s="20" t="s">
        <v>65</v>
      </c>
      <c r="C445" s="20" t="s">
        <v>63</v>
      </c>
      <c r="D445" s="97" t="str">
        <f>'пр.4 вед.стр.'!E445</f>
        <v>7Р 0 02 73С20</v>
      </c>
      <c r="E445" s="97" t="str">
        <f>'пр.4 вед.стр.'!F445</f>
        <v>610</v>
      </c>
      <c r="F445" s="59">
        <f>'пр.4 вед.стр.'!G445</f>
        <v>2.2999999999999972</v>
      </c>
      <c r="G445" s="59">
        <f>'пр.4 вед.стр.'!H445</f>
        <v>0</v>
      </c>
      <c r="H445" s="59">
        <f>'пр.4 вед.стр.'!I445</f>
        <v>2.2999999999999972</v>
      </c>
      <c r="I445" s="190">
        <f t="shared" si="179"/>
        <v>0</v>
      </c>
    </row>
    <row r="446" spans="1:9" ht="51">
      <c r="A446" s="16" t="str">
        <f>'пр.4 вед.стр.'!A446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6" s="20" t="s">
        <v>65</v>
      </c>
      <c r="C446" s="20" t="s">
        <v>63</v>
      </c>
      <c r="D446" s="97" t="str">
        <f>'[1]пр.7 вед.стр.'!E532</f>
        <v>7Р 0 02 S3С20</v>
      </c>
      <c r="E446" s="97"/>
      <c r="F446" s="59">
        <f>F447</f>
        <v>10</v>
      </c>
      <c r="G446" s="59">
        <f t="shared" ref="G446:H447" si="202">G447</f>
        <v>10</v>
      </c>
      <c r="H446" s="59">
        <f t="shared" si="202"/>
        <v>0</v>
      </c>
      <c r="I446" s="190">
        <f t="shared" si="179"/>
        <v>100</v>
      </c>
    </row>
    <row r="447" spans="1:9" ht="25.5">
      <c r="A447" s="16" t="str">
        <f>'[1]пр.7 вед.стр.'!A533</f>
        <v>Предоставление субсидий бюджетным, автономным учреждениям и иным некоммерческим организациям</v>
      </c>
      <c r="B447" s="20" t="s">
        <v>65</v>
      </c>
      <c r="C447" s="20" t="s">
        <v>63</v>
      </c>
      <c r="D447" s="97" t="str">
        <f>'[1]пр.7 вед.стр.'!E533</f>
        <v>7Р 0 02 S3С20</v>
      </c>
      <c r="E447" s="97" t="str">
        <f>'[1]пр.7 вед.стр.'!F533</f>
        <v>600</v>
      </c>
      <c r="F447" s="59">
        <f>F448</f>
        <v>10</v>
      </c>
      <c r="G447" s="59">
        <f t="shared" si="202"/>
        <v>10</v>
      </c>
      <c r="H447" s="59">
        <f t="shared" si="202"/>
        <v>0</v>
      </c>
      <c r="I447" s="190">
        <f t="shared" si="179"/>
        <v>100</v>
      </c>
    </row>
    <row r="448" spans="1:9">
      <c r="A448" s="16" t="str">
        <f>'[1]пр.7 вед.стр.'!A534</f>
        <v>Субсидии бюджетным учреждениям</v>
      </c>
      <c r="B448" s="20" t="s">
        <v>65</v>
      </c>
      <c r="C448" s="20" t="s">
        <v>63</v>
      </c>
      <c r="D448" s="97" t="str">
        <f>'[1]пр.7 вед.стр.'!E534</f>
        <v>7Р 0 02 S3С20</v>
      </c>
      <c r="E448" s="97" t="str">
        <f>'[1]пр.7 вед.стр.'!F534</f>
        <v>610</v>
      </c>
      <c r="F448" s="59">
        <f>'пр.4 вед.стр.'!G448</f>
        <v>10</v>
      </c>
      <c r="G448" s="59">
        <f>'пр.4 вед.стр.'!H448</f>
        <v>10</v>
      </c>
      <c r="H448" s="59">
        <f>'пр.4 вед.стр.'!I448</f>
        <v>0</v>
      </c>
      <c r="I448" s="190">
        <f t="shared" si="179"/>
        <v>100</v>
      </c>
    </row>
    <row r="449" spans="1:9" ht="38.25">
      <c r="A449" s="16" t="str">
        <f>'пр.4 вед.стр.'!A449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9" s="20" t="s">
        <v>65</v>
      </c>
      <c r="C449" s="20" t="s">
        <v>63</v>
      </c>
      <c r="D449" s="97" t="str">
        <f>'пр.4 вед.стр.'!E449</f>
        <v>7Р 0 02 74050</v>
      </c>
      <c r="E449" s="97"/>
      <c r="F449" s="59">
        <f>F450</f>
        <v>141591.6</v>
      </c>
      <c r="G449" s="59">
        <f t="shared" ref="G449:H450" si="203">G450</f>
        <v>141590.70000000001</v>
      </c>
      <c r="H449" s="59">
        <f t="shared" si="203"/>
        <v>0.89999999999417923</v>
      </c>
      <c r="I449" s="190">
        <f t="shared" si="179"/>
        <v>99.999364369072737</v>
      </c>
    </row>
    <row r="450" spans="1:9" ht="25.5">
      <c r="A450" s="16" t="str">
        <f>'пр.4 вед.стр.'!A450</f>
        <v>Предоставление субсидий бюджетным, автономным учреждениям и иным некоммерческим организациям</v>
      </c>
      <c r="B450" s="20" t="s">
        <v>65</v>
      </c>
      <c r="C450" s="20" t="s">
        <v>63</v>
      </c>
      <c r="D450" s="97" t="str">
        <f>'пр.4 вед.стр.'!E450</f>
        <v>7Р 0 02 74050</v>
      </c>
      <c r="E450" s="97" t="str">
        <f>'пр.4 вед.стр.'!F450</f>
        <v>600</v>
      </c>
      <c r="F450" s="59">
        <f>F451</f>
        <v>141591.6</v>
      </c>
      <c r="G450" s="59">
        <f t="shared" si="203"/>
        <v>141590.70000000001</v>
      </c>
      <c r="H450" s="59">
        <f t="shared" si="203"/>
        <v>0.89999999999417923</v>
      </c>
      <c r="I450" s="190">
        <f t="shared" si="179"/>
        <v>99.999364369072737</v>
      </c>
    </row>
    <row r="451" spans="1:9">
      <c r="A451" s="16" t="str">
        <f>'пр.4 вед.стр.'!A451</f>
        <v>Субсидии бюджетным учреждениям</v>
      </c>
      <c r="B451" s="20" t="s">
        <v>65</v>
      </c>
      <c r="C451" s="20" t="s">
        <v>63</v>
      </c>
      <c r="D451" s="97" t="str">
        <f>'пр.4 вед.стр.'!E451</f>
        <v>7Р 0 02 74050</v>
      </c>
      <c r="E451" s="97" t="str">
        <f>'пр.4 вед.стр.'!F451</f>
        <v>610</v>
      </c>
      <c r="F451" s="59">
        <f>'пр.4 вед.стр.'!G451</f>
        <v>141591.6</v>
      </c>
      <c r="G451" s="59">
        <f>'пр.4 вед.стр.'!H451</f>
        <v>141590.70000000001</v>
      </c>
      <c r="H451" s="59">
        <f>'пр.4 вед.стр.'!I451</f>
        <v>0.89999999999417923</v>
      </c>
      <c r="I451" s="190">
        <f t="shared" si="179"/>
        <v>99.999364369072737</v>
      </c>
    </row>
    <row r="452" spans="1:9" ht="38.25">
      <c r="A452" s="16" t="str">
        <f>'пр.4 вед.стр.'!A452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2" s="20" t="s">
        <v>65</v>
      </c>
      <c r="C452" s="20" t="s">
        <v>63</v>
      </c>
      <c r="D452" s="97" t="str">
        <f>'пр.4 вед.стр.'!E452</f>
        <v>7Р 0 02 74060</v>
      </c>
      <c r="E452" s="97"/>
      <c r="F452" s="59">
        <f>F453</f>
        <v>994.9</v>
      </c>
      <c r="G452" s="59">
        <f t="shared" ref="G452:H453" si="204">G453</f>
        <v>912.40000000000009</v>
      </c>
      <c r="H452" s="59">
        <f t="shared" si="204"/>
        <v>82.499999999999886</v>
      </c>
      <c r="I452" s="190">
        <f t="shared" si="179"/>
        <v>91.70770931751936</v>
      </c>
    </row>
    <row r="453" spans="1:9" ht="25.5">
      <c r="A453" s="16" t="str">
        <f>'пр.4 вед.стр.'!A453</f>
        <v>Предоставление субсидий бюджетным, автономным учреждениям и иным некоммерческим организациям</v>
      </c>
      <c r="B453" s="20" t="s">
        <v>65</v>
      </c>
      <c r="C453" s="20" t="s">
        <v>63</v>
      </c>
      <c r="D453" s="97" t="str">
        <f>'пр.4 вед.стр.'!E453</f>
        <v>7Р 0 02 74060</v>
      </c>
      <c r="E453" s="97" t="str">
        <f>'пр.4 вед.стр.'!F453</f>
        <v>600</v>
      </c>
      <c r="F453" s="59">
        <f>F454</f>
        <v>994.9</v>
      </c>
      <c r="G453" s="59">
        <f t="shared" si="204"/>
        <v>912.40000000000009</v>
      </c>
      <c r="H453" s="59">
        <f t="shared" si="204"/>
        <v>82.499999999999886</v>
      </c>
      <c r="I453" s="190">
        <f t="shared" si="179"/>
        <v>91.70770931751936</v>
      </c>
    </row>
    <row r="454" spans="1:9">
      <c r="A454" s="16" t="str">
        <f>'пр.4 вед.стр.'!A454</f>
        <v>Субсидии бюджетным учреждениям</v>
      </c>
      <c r="B454" s="20" t="s">
        <v>65</v>
      </c>
      <c r="C454" s="20" t="s">
        <v>63</v>
      </c>
      <c r="D454" s="97" t="str">
        <f>'пр.4 вед.стр.'!E454</f>
        <v>7Р 0 02 74060</v>
      </c>
      <c r="E454" s="97" t="str">
        <f>'пр.4 вед.стр.'!F454</f>
        <v>610</v>
      </c>
      <c r="F454" s="59">
        <f>'пр.4 вед.стр.'!G454</f>
        <v>994.9</v>
      </c>
      <c r="G454" s="59">
        <f>'пр.4 вед.стр.'!H454</f>
        <v>912.40000000000009</v>
      </c>
      <c r="H454" s="59">
        <f>'пр.4 вед.стр.'!I454</f>
        <v>82.499999999999886</v>
      </c>
      <c r="I454" s="190">
        <f t="shared" si="179"/>
        <v>91.70770931751936</v>
      </c>
    </row>
    <row r="455" spans="1:9" ht="51">
      <c r="A455" s="16" t="str">
        <f>'пр.4 вед.стр.'!A455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20" t="s">
        <v>65</v>
      </c>
      <c r="C455" s="20" t="s">
        <v>63</v>
      </c>
      <c r="D455" s="97" t="str">
        <f>'пр.4 вед.стр.'!E455</f>
        <v>7Р 0 02 74070</v>
      </c>
      <c r="E455" s="97"/>
      <c r="F455" s="59">
        <f>F456</f>
        <v>2588.5</v>
      </c>
      <c r="G455" s="59">
        <f t="shared" ref="G455:H456" si="205">G456</f>
        <v>2515.4</v>
      </c>
      <c r="H455" s="59">
        <f t="shared" si="205"/>
        <v>73.099999999999909</v>
      </c>
      <c r="I455" s="190">
        <f t="shared" si="179"/>
        <v>97.175970639366426</v>
      </c>
    </row>
    <row r="456" spans="1:9" ht="25.5">
      <c r="A456" s="16" t="str">
        <f>'пр.4 вед.стр.'!A456</f>
        <v>Предоставление субсидий бюджетным, автономным учреждениям и иным некоммерческим организациям</v>
      </c>
      <c r="B456" s="20" t="s">
        <v>65</v>
      </c>
      <c r="C456" s="20" t="s">
        <v>63</v>
      </c>
      <c r="D456" s="97" t="str">
        <f>'пр.4 вед.стр.'!E456</f>
        <v>7Р 0 02 74070</v>
      </c>
      <c r="E456" s="97" t="str">
        <f>'пр.4 вед.стр.'!F456</f>
        <v>600</v>
      </c>
      <c r="F456" s="59">
        <f>F457</f>
        <v>2588.5</v>
      </c>
      <c r="G456" s="59">
        <f t="shared" si="205"/>
        <v>2515.4</v>
      </c>
      <c r="H456" s="59">
        <f t="shared" si="205"/>
        <v>73.099999999999909</v>
      </c>
      <c r="I456" s="190">
        <f t="shared" si="179"/>
        <v>97.175970639366426</v>
      </c>
    </row>
    <row r="457" spans="1:9">
      <c r="A457" s="16" t="str">
        <f>'пр.4 вед.стр.'!A457</f>
        <v>Субсидии бюджетным учреждениям</v>
      </c>
      <c r="B457" s="20" t="s">
        <v>65</v>
      </c>
      <c r="C457" s="20" t="s">
        <v>63</v>
      </c>
      <c r="D457" s="97" t="str">
        <f>'пр.4 вед.стр.'!E457</f>
        <v>7Р 0 02 74070</v>
      </c>
      <c r="E457" s="97" t="str">
        <f>'пр.4 вед.стр.'!F457</f>
        <v>610</v>
      </c>
      <c r="F457" s="59">
        <f>'пр.4 вед.стр.'!G457</f>
        <v>2588.5</v>
      </c>
      <c r="G457" s="59">
        <f>'пр.4 вед.стр.'!H457</f>
        <v>2515.4</v>
      </c>
      <c r="H457" s="59">
        <f>'пр.4 вед.стр.'!I457</f>
        <v>73.099999999999909</v>
      </c>
      <c r="I457" s="190">
        <f t="shared" si="179"/>
        <v>97.175970639366426</v>
      </c>
    </row>
    <row r="458" spans="1:9" ht="25.5">
      <c r="A458" s="16" t="str">
        <f>'пр.4 вед.стр.'!A458</f>
        <v>Обеспечение ежемесячного денежного вознаграждения за классное руководство</v>
      </c>
      <c r="B458" s="20" t="s">
        <v>65</v>
      </c>
      <c r="C458" s="20" t="s">
        <v>63</v>
      </c>
      <c r="D458" s="97" t="str">
        <f>'пр.4 вед.стр.'!E458</f>
        <v>7Р 0 02 74130</v>
      </c>
      <c r="E458" s="97"/>
      <c r="F458" s="59">
        <f>F459</f>
        <v>1117.6000000000001</v>
      </c>
      <c r="G458" s="59">
        <f t="shared" ref="G458:H459" si="206">G459</f>
        <v>1100</v>
      </c>
      <c r="H458" s="59">
        <f t="shared" si="206"/>
        <v>17.600000000000136</v>
      </c>
      <c r="I458" s="190">
        <f t="shared" ref="I458:I521" si="207">G458/F458*100</f>
        <v>98.425196850393689</v>
      </c>
    </row>
    <row r="459" spans="1:9" ht="25.5">
      <c r="A459" s="16" t="str">
        <f>'пр.4 вед.стр.'!A459</f>
        <v>Предоставление субсидий бюджетным, автономным учреждениям и иным некоммерческим организациям</v>
      </c>
      <c r="B459" s="20" t="s">
        <v>65</v>
      </c>
      <c r="C459" s="20" t="s">
        <v>63</v>
      </c>
      <c r="D459" s="97" t="str">
        <f>'пр.4 вед.стр.'!E459</f>
        <v>7Р 0 02 74130</v>
      </c>
      <c r="E459" s="97" t="str">
        <f>'пр.4 вед.стр.'!F459</f>
        <v>600</v>
      </c>
      <c r="F459" s="59">
        <f>F460</f>
        <v>1117.6000000000001</v>
      </c>
      <c r="G459" s="59">
        <f t="shared" si="206"/>
        <v>1100</v>
      </c>
      <c r="H459" s="59">
        <f t="shared" si="206"/>
        <v>17.600000000000136</v>
      </c>
      <c r="I459" s="190">
        <f t="shared" si="207"/>
        <v>98.425196850393689</v>
      </c>
    </row>
    <row r="460" spans="1:9">
      <c r="A460" s="16" t="str">
        <f>'пр.4 вед.стр.'!A460</f>
        <v>Субсидии бюджетным учреждениям</v>
      </c>
      <c r="B460" s="20" t="s">
        <v>65</v>
      </c>
      <c r="C460" s="20" t="s">
        <v>63</v>
      </c>
      <c r="D460" s="97" t="str">
        <f>'пр.4 вед.стр.'!E460</f>
        <v>7Р 0 02 74130</v>
      </c>
      <c r="E460" s="97" t="str">
        <f>'пр.4 вед.стр.'!F460</f>
        <v>610</v>
      </c>
      <c r="F460" s="59">
        <f>'пр.4 вед.стр.'!G460</f>
        <v>1117.6000000000001</v>
      </c>
      <c r="G460" s="59">
        <f>'пр.4 вед.стр.'!H460</f>
        <v>1100</v>
      </c>
      <c r="H460" s="59">
        <f>'пр.4 вед.стр.'!I460</f>
        <v>17.600000000000136</v>
      </c>
      <c r="I460" s="190">
        <f t="shared" si="207"/>
        <v>98.425196850393689</v>
      </c>
    </row>
    <row r="461" spans="1:9" ht="38.25">
      <c r="A461" s="16" t="str">
        <f>'пр.4 вед.стр.'!A461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20" t="s">
        <v>65</v>
      </c>
      <c r="C461" s="20" t="s">
        <v>63</v>
      </c>
      <c r="D461" s="97" t="str">
        <f>'пр.4 вед.стр.'!E461</f>
        <v>7Р 0 02 75010</v>
      </c>
      <c r="E461" s="97"/>
      <c r="F461" s="59">
        <f>F462</f>
        <v>5092.0999999999995</v>
      </c>
      <c r="G461" s="59">
        <f t="shared" ref="G461:H462" si="208">G462</f>
        <v>5092.1000000000004</v>
      </c>
      <c r="H461" s="59">
        <f t="shared" si="208"/>
        <v>0</v>
      </c>
      <c r="I461" s="190">
        <f t="shared" si="207"/>
        <v>100.00000000000003</v>
      </c>
    </row>
    <row r="462" spans="1:9" ht="25.5">
      <c r="A462" s="16" t="str">
        <f>'пр.4 вед.стр.'!A462</f>
        <v>Предоставление субсидий бюджетным, автономным учреждениям и иным некоммерческим организациям</v>
      </c>
      <c r="B462" s="20" t="s">
        <v>65</v>
      </c>
      <c r="C462" s="20" t="s">
        <v>63</v>
      </c>
      <c r="D462" s="97" t="str">
        <f>'пр.4 вед.стр.'!E462</f>
        <v>7Р 0 02 75010</v>
      </c>
      <c r="E462" s="97" t="str">
        <f>'пр.4 вед.стр.'!F462</f>
        <v>600</v>
      </c>
      <c r="F462" s="59">
        <f>F463</f>
        <v>5092.0999999999995</v>
      </c>
      <c r="G462" s="59">
        <f t="shared" si="208"/>
        <v>5092.1000000000004</v>
      </c>
      <c r="H462" s="59">
        <f t="shared" si="208"/>
        <v>0</v>
      </c>
      <c r="I462" s="190">
        <f t="shared" si="207"/>
        <v>100.00000000000003</v>
      </c>
    </row>
    <row r="463" spans="1:9">
      <c r="A463" s="16" t="str">
        <f>'пр.4 вед.стр.'!A463</f>
        <v>Субсидии бюджетным учреждениям</v>
      </c>
      <c r="B463" s="20" t="s">
        <v>65</v>
      </c>
      <c r="C463" s="20" t="s">
        <v>63</v>
      </c>
      <c r="D463" s="97" t="str">
        <f>'пр.4 вед.стр.'!E463</f>
        <v>7Р 0 02 75010</v>
      </c>
      <c r="E463" s="97" t="str">
        <f>'пр.4 вед.стр.'!F463</f>
        <v>610</v>
      </c>
      <c r="F463" s="59">
        <f>'пр.4 вед.стр.'!G463</f>
        <v>5092.0999999999995</v>
      </c>
      <c r="G463" s="59">
        <f>'пр.4 вед.стр.'!H463</f>
        <v>5092.1000000000004</v>
      </c>
      <c r="H463" s="59">
        <f>'пр.4 вед.стр.'!I463</f>
        <v>0</v>
      </c>
      <c r="I463" s="190">
        <f t="shared" si="207"/>
        <v>100.00000000000003</v>
      </c>
    </row>
    <row r="464" spans="1:9" ht="25.5">
      <c r="A464" s="16" t="str">
        <f>'пр.4 вед.стр.'!A464</f>
        <v>Основное мероприятие "Формирование доступной среды в образовательных учреждениях Сусуманского городского округа"</v>
      </c>
      <c r="B464" s="20" t="s">
        <v>65</v>
      </c>
      <c r="C464" s="20" t="s">
        <v>63</v>
      </c>
      <c r="D464" s="97" t="str">
        <f>'пр.4 вед.стр.'!E464</f>
        <v>7Р 0 05 00000</v>
      </c>
      <c r="E464" s="97"/>
      <c r="F464" s="59">
        <f>F465</f>
        <v>275</v>
      </c>
      <c r="G464" s="59">
        <f t="shared" ref="G464:H466" si="209">G465</f>
        <v>272.5</v>
      </c>
      <c r="H464" s="59">
        <f t="shared" si="209"/>
        <v>2.5</v>
      </c>
      <c r="I464" s="190">
        <f t="shared" si="207"/>
        <v>99.090909090909093</v>
      </c>
    </row>
    <row r="465" spans="1:9" ht="25.5">
      <c r="A465" s="16" t="str">
        <f>'пр.4 вед.стр.'!A465</f>
        <v xml:space="preserve">Адаптация социально- значимых объектов для инвалидов и маломобильных групп населения </v>
      </c>
      <c r="B465" s="20" t="s">
        <v>65</v>
      </c>
      <c r="C465" s="20" t="s">
        <v>63</v>
      </c>
      <c r="D465" s="97" t="str">
        <f>'пр.4 вед.стр.'!E465</f>
        <v>7Р 0 05 91500</v>
      </c>
      <c r="E465" s="97"/>
      <c r="F465" s="59">
        <f>F466</f>
        <v>275</v>
      </c>
      <c r="G465" s="59">
        <f t="shared" si="209"/>
        <v>272.5</v>
      </c>
      <c r="H465" s="59">
        <f t="shared" si="209"/>
        <v>2.5</v>
      </c>
      <c r="I465" s="190">
        <f t="shared" si="207"/>
        <v>99.090909090909093</v>
      </c>
    </row>
    <row r="466" spans="1:9" ht="25.5">
      <c r="A466" s="16" t="str">
        <f>'пр.4 вед.стр.'!A466</f>
        <v>Предоставление субсидий бюджетным, автономным учреждениям и иным некоммерческим организациям</v>
      </c>
      <c r="B466" s="20" t="s">
        <v>65</v>
      </c>
      <c r="C466" s="20" t="s">
        <v>63</v>
      </c>
      <c r="D466" s="97" t="str">
        <f>'пр.4 вед.стр.'!E466</f>
        <v>7Р 0 05 91500</v>
      </c>
      <c r="E466" s="97" t="str">
        <f>'пр.4 вед.стр.'!F466</f>
        <v>600</v>
      </c>
      <c r="F466" s="59">
        <f>F467</f>
        <v>275</v>
      </c>
      <c r="G466" s="59">
        <f t="shared" si="209"/>
        <v>272.5</v>
      </c>
      <c r="H466" s="59">
        <f t="shared" si="209"/>
        <v>2.5</v>
      </c>
      <c r="I466" s="190">
        <f t="shared" si="207"/>
        <v>99.090909090909093</v>
      </c>
    </row>
    <row r="467" spans="1:9">
      <c r="A467" s="16" t="str">
        <f>'пр.4 вед.стр.'!A467</f>
        <v>Субсидии бюджетным учреждениям</v>
      </c>
      <c r="B467" s="20" t="s">
        <v>65</v>
      </c>
      <c r="C467" s="20" t="s">
        <v>63</v>
      </c>
      <c r="D467" s="97" t="str">
        <f>'пр.4 вед.стр.'!E467</f>
        <v>7Р 0 05 91500</v>
      </c>
      <c r="E467" s="97" t="str">
        <f>'пр.4 вед.стр.'!F467</f>
        <v>610</v>
      </c>
      <c r="F467" s="59">
        <f>'пр.4 вед.стр.'!G467</f>
        <v>275</v>
      </c>
      <c r="G467" s="59">
        <f>'пр.4 вед.стр.'!H467</f>
        <v>272.5</v>
      </c>
      <c r="H467" s="59">
        <f>'пр.4 вед.стр.'!I467</f>
        <v>2.5</v>
      </c>
      <c r="I467" s="190">
        <f t="shared" si="207"/>
        <v>99.090909090909093</v>
      </c>
    </row>
    <row r="468" spans="1:9" ht="25.5">
      <c r="A468" s="28" t="str">
        <f>'пр.4 вед.стр.'!A468</f>
        <v>Муниципальная  программа  "Здоровье обучающихся и воспитанников в Сусуманском городском округе  на 2018- 2022 годы"</v>
      </c>
      <c r="B468" s="19" t="s">
        <v>65</v>
      </c>
      <c r="C468" s="19" t="s">
        <v>63</v>
      </c>
      <c r="D468" s="102" t="str">
        <f>'пр.4 вед.стр.'!E468</f>
        <v xml:space="preserve">7Ю 0 00 00000 </v>
      </c>
      <c r="E468" s="102"/>
      <c r="F468" s="59">
        <f>F469</f>
        <v>4052.0000000000005</v>
      </c>
      <c r="G468" s="59">
        <f t="shared" ref="G468:H468" si="210">G469</f>
        <v>4020.4</v>
      </c>
      <c r="H468" s="59">
        <f t="shared" si="210"/>
        <v>31.600000000000023</v>
      </c>
      <c r="I468" s="190">
        <f t="shared" si="207"/>
        <v>99.220138203356356</v>
      </c>
    </row>
    <row r="469" spans="1:9" ht="25.5">
      <c r="A469" s="28" t="str">
        <f>'пр.4 вед.стр.'!A469</f>
        <v>Основное мероприятие "Совершенствование системы укрепления здоровья учащихся и воспитанников образовательных учреждений"</v>
      </c>
      <c r="B469" s="20" t="s">
        <v>65</v>
      </c>
      <c r="C469" s="20" t="s">
        <v>63</v>
      </c>
      <c r="D469" s="102" t="str">
        <f>'пр.4 вед.стр.'!E469</f>
        <v xml:space="preserve">7Ю 0 01 00000 </v>
      </c>
      <c r="E469" s="97"/>
      <c r="F469" s="59">
        <f>F470+F473+F476+F479+F485+F482</f>
        <v>4052.0000000000005</v>
      </c>
      <c r="G469" s="59">
        <f t="shared" ref="G469:H469" si="211">G470+G473+G476+G479+G485+G482</f>
        <v>4020.4</v>
      </c>
      <c r="H469" s="59">
        <f t="shared" si="211"/>
        <v>31.600000000000023</v>
      </c>
      <c r="I469" s="190">
        <f t="shared" si="207"/>
        <v>99.220138203356356</v>
      </c>
    </row>
    <row r="470" spans="1:9">
      <c r="A470" s="28" t="str">
        <f>'пр.4 вед.стр.'!A470</f>
        <v>Укрепление материально- технической базы медицинских кабинетов</v>
      </c>
      <c r="B470" s="20" t="s">
        <v>65</v>
      </c>
      <c r="C470" s="20" t="s">
        <v>63</v>
      </c>
      <c r="D470" s="102" t="str">
        <f>'пр.4 вед.стр.'!E470</f>
        <v xml:space="preserve">7Ю 0 01 92520 </v>
      </c>
      <c r="E470" s="97"/>
      <c r="F470" s="59">
        <f>F471</f>
        <v>113.30000000000001</v>
      </c>
      <c r="G470" s="59">
        <f t="shared" ref="G470:H471" si="212">G471</f>
        <v>113</v>
      </c>
      <c r="H470" s="59">
        <f t="shared" si="212"/>
        <v>0.30000000000001137</v>
      </c>
      <c r="I470" s="190">
        <f t="shared" si="207"/>
        <v>99.735216240070599</v>
      </c>
    </row>
    <row r="471" spans="1:9" ht="25.5">
      <c r="A471" s="28" t="str">
        <f>'пр.4 вед.стр.'!A471</f>
        <v>Предоставление субсидий бюджетным, автономным учреждениям и иным некоммерческим организациям</v>
      </c>
      <c r="B471" s="20" t="s">
        <v>65</v>
      </c>
      <c r="C471" s="20" t="s">
        <v>63</v>
      </c>
      <c r="D471" s="102" t="str">
        <f>'пр.4 вед.стр.'!E471</f>
        <v xml:space="preserve">7Ю 0 01 92520 </v>
      </c>
      <c r="E471" s="97" t="str">
        <f>'пр.4 вед.стр.'!F471</f>
        <v>600</v>
      </c>
      <c r="F471" s="59">
        <f>F472</f>
        <v>113.30000000000001</v>
      </c>
      <c r="G471" s="59">
        <f t="shared" si="212"/>
        <v>113</v>
      </c>
      <c r="H471" s="59">
        <f t="shared" si="212"/>
        <v>0.30000000000001137</v>
      </c>
      <c r="I471" s="190">
        <f t="shared" si="207"/>
        <v>99.735216240070599</v>
      </c>
    </row>
    <row r="472" spans="1:9">
      <c r="A472" s="28" t="str">
        <f>'пр.4 вед.стр.'!A472</f>
        <v>Субсидии бюджетным учреждениям</v>
      </c>
      <c r="B472" s="20" t="s">
        <v>65</v>
      </c>
      <c r="C472" s="20" t="s">
        <v>63</v>
      </c>
      <c r="D472" s="102" t="str">
        <f>'пр.4 вед.стр.'!E472</f>
        <v xml:space="preserve">7Ю 0 01 92520 </v>
      </c>
      <c r="E472" s="97" t="str">
        <f>'пр.4 вед.стр.'!F472</f>
        <v>610</v>
      </c>
      <c r="F472" s="59">
        <f>'пр.4 вед.стр.'!G472</f>
        <v>113.30000000000001</v>
      </c>
      <c r="G472" s="59">
        <f>'пр.4 вед.стр.'!H472</f>
        <v>113</v>
      </c>
      <c r="H472" s="59">
        <f>'пр.4 вед.стр.'!I472</f>
        <v>0.30000000000001137</v>
      </c>
      <c r="I472" s="190">
        <f t="shared" si="207"/>
        <v>99.735216240070599</v>
      </c>
    </row>
    <row r="473" spans="1:9" ht="25.5">
      <c r="A473" s="16" t="str">
        <f>'пр.4 вед.стр.'!A473</f>
        <v xml:space="preserve">Совершенствование системы укрепления здоровья учащихся в общеобразовательных учреждениях </v>
      </c>
      <c r="B473" s="20" t="s">
        <v>65</v>
      </c>
      <c r="C473" s="20" t="s">
        <v>63</v>
      </c>
      <c r="D473" s="97" t="str">
        <f>'пр.4 вед.стр.'!E473</f>
        <v>7Ю 0 01 73440</v>
      </c>
      <c r="E473" s="100"/>
      <c r="F473" s="59">
        <f>F474</f>
        <v>1248.2000000000003</v>
      </c>
      <c r="G473" s="59">
        <f t="shared" ref="G473:H474" si="213">G474</f>
        <v>1248.2</v>
      </c>
      <c r="H473" s="59">
        <f t="shared" si="213"/>
        <v>0</v>
      </c>
      <c r="I473" s="190">
        <f t="shared" si="207"/>
        <v>99.999999999999972</v>
      </c>
    </row>
    <row r="474" spans="1:9" ht="25.5">
      <c r="A474" s="16" t="str">
        <f>'пр.4 вед.стр.'!A474</f>
        <v>Предоставление субсидий бюджетным, автономным учреждениям и иным некоммерческим организациям</v>
      </c>
      <c r="B474" s="20" t="s">
        <v>65</v>
      </c>
      <c r="C474" s="20" t="s">
        <v>63</v>
      </c>
      <c r="D474" s="97" t="str">
        <f>'пр.4 вед.стр.'!E474</f>
        <v>7Ю 0 01 73440</v>
      </c>
      <c r="E474" s="97" t="str">
        <f>'пр.4 вед.стр.'!F474</f>
        <v>600</v>
      </c>
      <c r="F474" s="59">
        <f>F475</f>
        <v>1248.2000000000003</v>
      </c>
      <c r="G474" s="59">
        <f t="shared" si="213"/>
        <v>1248.2</v>
      </c>
      <c r="H474" s="59">
        <f t="shared" si="213"/>
        <v>0</v>
      </c>
      <c r="I474" s="190">
        <f t="shared" si="207"/>
        <v>99.999999999999972</v>
      </c>
    </row>
    <row r="475" spans="1:9">
      <c r="A475" s="16" t="str">
        <f>'пр.4 вед.стр.'!A475</f>
        <v>Субсидии бюджетным учреждениям</v>
      </c>
      <c r="B475" s="20" t="s">
        <v>65</v>
      </c>
      <c r="C475" s="20" t="s">
        <v>63</v>
      </c>
      <c r="D475" s="97" t="str">
        <f>'пр.4 вед.стр.'!E475</f>
        <v>7Ю 0 01 73440</v>
      </c>
      <c r="E475" s="97" t="str">
        <f>'пр.4 вед.стр.'!F475</f>
        <v>610</v>
      </c>
      <c r="F475" s="59">
        <f>'пр.4 вед.стр.'!G475</f>
        <v>1248.2000000000003</v>
      </c>
      <c r="G475" s="59">
        <f>'пр.4 вед.стр.'!H475</f>
        <v>1248.2</v>
      </c>
      <c r="H475" s="59">
        <f>'пр.4 вед.стр.'!I475</f>
        <v>0</v>
      </c>
      <c r="I475" s="190">
        <f t="shared" si="207"/>
        <v>99.999999999999972</v>
      </c>
    </row>
    <row r="476" spans="1:9" ht="25.5">
      <c r="A476" s="16" t="str">
        <f>'пр.4 вед.стр.'!A476</f>
        <v>Совершенствование системы укрепления здоровья учащихся в общеобразовательных учреждениях  за счет средств местного бюджета</v>
      </c>
      <c r="B476" s="20" t="s">
        <v>65</v>
      </c>
      <c r="C476" s="20" t="s">
        <v>63</v>
      </c>
      <c r="D476" s="97" t="str">
        <f>'пр.4 вед.стр.'!E476</f>
        <v>7Ю 0 01 S3440</v>
      </c>
      <c r="E476" s="97"/>
      <c r="F476" s="59">
        <f>F477</f>
        <v>1537.5</v>
      </c>
      <c r="G476" s="59">
        <f t="shared" ref="G476:H477" si="214">G477</f>
        <v>1537.3</v>
      </c>
      <c r="H476" s="59">
        <f t="shared" si="214"/>
        <v>0.20000000000004547</v>
      </c>
      <c r="I476" s="190">
        <f t="shared" si="207"/>
        <v>99.986991869918697</v>
      </c>
    </row>
    <row r="477" spans="1:9" ht="25.5">
      <c r="A477" s="16" t="str">
        <f>'пр.4 вед.стр.'!A477</f>
        <v>Предоставление субсидий бюджетным, автономным учреждениям и иным некоммерческим организациям</v>
      </c>
      <c r="B477" s="20" t="s">
        <v>65</v>
      </c>
      <c r="C477" s="20" t="s">
        <v>63</v>
      </c>
      <c r="D477" s="97" t="str">
        <f>'пр.4 вед.стр.'!E477</f>
        <v>7Ю 0 01 S3440</v>
      </c>
      <c r="E477" s="97" t="str">
        <f>'пр.4 вед.стр.'!F477</f>
        <v>600</v>
      </c>
      <c r="F477" s="59">
        <f>F478</f>
        <v>1537.5</v>
      </c>
      <c r="G477" s="59">
        <f t="shared" si="214"/>
        <v>1537.3</v>
      </c>
      <c r="H477" s="59">
        <f t="shared" si="214"/>
        <v>0.20000000000004547</v>
      </c>
      <c r="I477" s="190">
        <f t="shared" si="207"/>
        <v>99.986991869918697</v>
      </c>
    </row>
    <row r="478" spans="1:9">
      <c r="A478" s="16" t="str">
        <f>'пр.4 вед.стр.'!A478</f>
        <v>Субсидии бюджетным учреждениям</v>
      </c>
      <c r="B478" s="20" t="s">
        <v>65</v>
      </c>
      <c r="C478" s="20" t="s">
        <v>63</v>
      </c>
      <c r="D478" s="97" t="str">
        <f>'пр.4 вед.стр.'!E478</f>
        <v>7Ю 0 01 S3440</v>
      </c>
      <c r="E478" s="97" t="str">
        <f>'пр.4 вед.стр.'!F478</f>
        <v>610</v>
      </c>
      <c r="F478" s="59">
        <f>'пр.4 вед.стр.'!G478</f>
        <v>1537.5</v>
      </c>
      <c r="G478" s="59">
        <f>'пр.4 вед.стр.'!H478</f>
        <v>1537.3</v>
      </c>
      <c r="H478" s="59">
        <f>'пр.4 вед.стр.'!I478</f>
        <v>0.20000000000004547</v>
      </c>
      <c r="I478" s="190">
        <f t="shared" si="207"/>
        <v>99.986991869918697</v>
      </c>
    </row>
    <row r="479" spans="1:9" ht="25.5">
      <c r="A479" s="28" t="str">
        <f>'пр.4 вед.стр.'!A479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9" s="20" t="s">
        <v>65</v>
      </c>
      <c r="C479" s="20" t="s">
        <v>63</v>
      </c>
      <c r="D479" s="102" t="str">
        <f>'пр.4 вед.стр.'!E479</f>
        <v xml:space="preserve">7Ю 0 01 73950 </v>
      </c>
      <c r="E479" s="97"/>
      <c r="F479" s="59">
        <f>F480</f>
        <v>808.8</v>
      </c>
      <c r="G479" s="59">
        <f t="shared" ref="G479:H480" si="215">G480</f>
        <v>778</v>
      </c>
      <c r="H479" s="59">
        <f t="shared" si="215"/>
        <v>30.799999999999955</v>
      </c>
      <c r="I479" s="190">
        <f t="shared" si="207"/>
        <v>96.191889218595449</v>
      </c>
    </row>
    <row r="480" spans="1:9" ht="25.5">
      <c r="A480" s="28" t="str">
        <f>'пр.4 вед.стр.'!A480</f>
        <v>Предоставление субсидий бюджетным, автономным учреждениям и иным некоммерческим организациям</v>
      </c>
      <c r="B480" s="20" t="s">
        <v>65</v>
      </c>
      <c r="C480" s="20" t="s">
        <v>63</v>
      </c>
      <c r="D480" s="102" t="str">
        <f>'пр.4 вед.стр.'!E480</f>
        <v xml:space="preserve">7Ю 0 01 73950 </v>
      </c>
      <c r="E480" s="97" t="str">
        <f>'пр.4 вед.стр.'!F480</f>
        <v>600</v>
      </c>
      <c r="F480" s="59">
        <f>F481</f>
        <v>808.8</v>
      </c>
      <c r="G480" s="59">
        <f t="shared" si="215"/>
        <v>778</v>
      </c>
      <c r="H480" s="59">
        <f t="shared" si="215"/>
        <v>30.799999999999955</v>
      </c>
      <c r="I480" s="190">
        <f t="shared" si="207"/>
        <v>96.191889218595449</v>
      </c>
    </row>
    <row r="481" spans="1:9">
      <c r="A481" s="28" t="str">
        <f>'пр.4 вед.стр.'!A481</f>
        <v>Субсидии бюджетным учреждениям</v>
      </c>
      <c r="B481" s="20" t="s">
        <v>65</v>
      </c>
      <c r="C481" s="20" t="s">
        <v>63</v>
      </c>
      <c r="D481" s="102" t="str">
        <f>'пр.4 вед.стр.'!E481</f>
        <v xml:space="preserve">7Ю 0 01 73950 </v>
      </c>
      <c r="E481" s="97" t="str">
        <f>'пр.4 вед.стр.'!F481</f>
        <v>610</v>
      </c>
      <c r="F481" s="59">
        <f>'пр.4 вед.стр.'!G481</f>
        <v>808.8</v>
      </c>
      <c r="G481" s="59">
        <f>'пр.4 вед.стр.'!H481</f>
        <v>778</v>
      </c>
      <c r="H481" s="59">
        <f>'пр.4 вед.стр.'!I481</f>
        <v>30.799999999999955</v>
      </c>
      <c r="I481" s="190">
        <f t="shared" si="207"/>
        <v>96.191889218595449</v>
      </c>
    </row>
    <row r="482" spans="1:9" ht="38.25">
      <c r="A482" s="28" t="str">
        <f>'пр.4 вед.стр.'!A482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2" s="20" t="s">
        <v>65</v>
      </c>
      <c r="C482" s="20" t="s">
        <v>63</v>
      </c>
      <c r="D482" s="102" t="str">
        <f>'пр.4 вед.стр.'!E482</f>
        <v xml:space="preserve">7Ю 0 01 S3950 </v>
      </c>
      <c r="E482" s="97"/>
      <c r="F482" s="59">
        <f>F483</f>
        <v>250.8</v>
      </c>
      <c r="G482" s="59">
        <f t="shared" ref="G482:H483" si="216">G483</f>
        <v>250.5</v>
      </c>
      <c r="H482" s="59">
        <f t="shared" si="216"/>
        <v>0.30000000000001137</v>
      </c>
      <c r="I482" s="190">
        <f t="shared" si="207"/>
        <v>99.880382775119614</v>
      </c>
    </row>
    <row r="483" spans="1:9" ht="25.5">
      <c r="A483" s="28" t="str">
        <f>'пр.4 вед.стр.'!A483</f>
        <v>Предоставление субсидий бюджетным, автономным учреждениям и иным некоммерческим организациям</v>
      </c>
      <c r="B483" s="20" t="s">
        <v>65</v>
      </c>
      <c r="C483" s="20" t="s">
        <v>63</v>
      </c>
      <c r="D483" s="102" t="str">
        <f>'пр.4 вед.стр.'!E483</f>
        <v xml:space="preserve">7Ю 0 01 S3950 </v>
      </c>
      <c r="E483" s="97" t="str">
        <f>'пр.4 вед.стр.'!F483</f>
        <v>600</v>
      </c>
      <c r="F483" s="59">
        <f>F484</f>
        <v>250.8</v>
      </c>
      <c r="G483" s="59">
        <f t="shared" si="216"/>
        <v>250.5</v>
      </c>
      <c r="H483" s="59">
        <f t="shared" si="216"/>
        <v>0.30000000000001137</v>
      </c>
      <c r="I483" s="190">
        <f t="shared" si="207"/>
        <v>99.880382775119614</v>
      </c>
    </row>
    <row r="484" spans="1:9">
      <c r="A484" s="28" t="str">
        <f>'пр.4 вед.стр.'!A484</f>
        <v>Субсидии бюджетным учреждениям</v>
      </c>
      <c r="B484" s="20" t="s">
        <v>65</v>
      </c>
      <c r="C484" s="20" t="s">
        <v>63</v>
      </c>
      <c r="D484" s="102" t="str">
        <f>'пр.4 вед.стр.'!E484</f>
        <v xml:space="preserve">7Ю 0 01 S3950 </v>
      </c>
      <c r="E484" s="97" t="str">
        <f>'пр.4 вед.стр.'!F484</f>
        <v>610</v>
      </c>
      <c r="F484" s="59">
        <f>'пр.4 вед.стр.'!G484</f>
        <v>250.8</v>
      </c>
      <c r="G484" s="59">
        <f>'пр.4 вед.стр.'!H484</f>
        <v>250.5</v>
      </c>
      <c r="H484" s="59">
        <f>'пр.4 вед.стр.'!I484</f>
        <v>0.30000000000001137</v>
      </c>
      <c r="I484" s="190">
        <f t="shared" si="207"/>
        <v>99.880382775119614</v>
      </c>
    </row>
    <row r="485" spans="1:9" ht="25.5">
      <c r="A485" s="28" t="str">
        <f>'пр.4 вед.стр.'!A485</f>
        <v>Проведение конкурсов, спартакиад, соревнований, акций и других мероприятий</v>
      </c>
      <c r="B485" s="20" t="s">
        <v>65</v>
      </c>
      <c r="C485" s="20" t="s">
        <v>63</v>
      </c>
      <c r="D485" s="102" t="str">
        <f>'пр.4 вед.стр.'!E485</f>
        <v xml:space="preserve">7Ю 0 01 93800 </v>
      </c>
      <c r="E485" s="97"/>
      <c r="F485" s="59">
        <f>F486</f>
        <v>93.4</v>
      </c>
      <c r="G485" s="59">
        <f t="shared" ref="G485:H486" si="217">G486</f>
        <v>93.4</v>
      </c>
      <c r="H485" s="59">
        <f t="shared" si="217"/>
        <v>0</v>
      </c>
      <c r="I485" s="190">
        <f t="shared" si="207"/>
        <v>100</v>
      </c>
    </row>
    <row r="486" spans="1:9" ht="25.5">
      <c r="A486" s="28" t="str">
        <f>'пр.4 вед.стр.'!A486</f>
        <v>Предоставление субсидий бюджетным, автономным учреждениям и иным некоммерческим организациям</v>
      </c>
      <c r="B486" s="20" t="s">
        <v>65</v>
      </c>
      <c r="C486" s="20" t="s">
        <v>63</v>
      </c>
      <c r="D486" s="102" t="str">
        <f>'пр.4 вед.стр.'!E486</f>
        <v xml:space="preserve">7Ю 0 01 93800 </v>
      </c>
      <c r="E486" s="97" t="str">
        <f>'пр.4 вед.стр.'!F486</f>
        <v>600</v>
      </c>
      <c r="F486" s="59">
        <f>F487</f>
        <v>93.4</v>
      </c>
      <c r="G486" s="59">
        <f t="shared" si="217"/>
        <v>93.4</v>
      </c>
      <c r="H486" s="59">
        <f t="shared" si="217"/>
        <v>0</v>
      </c>
      <c r="I486" s="190">
        <f t="shared" si="207"/>
        <v>100</v>
      </c>
    </row>
    <row r="487" spans="1:9">
      <c r="A487" s="28" t="str">
        <f>'пр.4 вед.стр.'!A487</f>
        <v>Субсидии бюджетным учреждениям</v>
      </c>
      <c r="B487" s="20" t="s">
        <v>65</v>
      </c>
      <c r="C487" s="20" t="s">
        <v>63</v>
      </c>
      <c r="D487" s="102" t="str">
        <f>'пр.4 вед.стр.'!E487</f>
        <v xml:space="preserve">7Ю 0 01 93800 </v>
      </c>
      <c r="E487" s="97" t="str">
        <f>'пр.4 вед.стр.'!F487</f>
        <v>610</v>
      </c>
      <c r="F487" s="59">
        <f>'пр.4 вед.стр.'!G487</f>
        <v>93.4</v>
      </c>
      <c r="G487" s="59">
        <f>'пр.4 вед.стр.'!H487</f>
        <v>93.4</v>
      </c>
      <c r="H487" s="59">
        <f>'пр.4 вед.стр.'!I487</f>
        <v>0</v>
      </c>
      <c r="I487" s="190">
        <f t="shared" si="207"/>
        <v>100</v>
      </c>
    </row>
    <row r="488" spans="1:9">
      <c r="A488" s="16" t="s">
        <v>56</v>
      </c>
      <c r="B488" s="20" t="s">
        <v>65</v>
      </c>
      <c r="C488" s="20" t="s">
        <v>63</v>
      </c>
      <c r="D488" s="97" t="s">
        <v>459</v>
      </c>
      <c r="E488" s="97"/>
      <c r="F488" s="59">
        <f>F489+F492+F495</f>
        <v>39037.199999999997</v>
      </c>
      <c r="G488" s="59">
        <f t="shared" ref="G488:H488" si="218">G489+G492+G495</f>
        <v>38712.6</v>
      </c>
      <c r="H488" s="59">
        <f t="shared" si="218"/>
        <v>324.5999999999998</v>
      </c>
      <c r="I488" s="190">
        <f t="shared" si="207"/>
        <v>99.168485444652802</v>
      </c>
    </row>
    <row r="489" spans="1:9" ht="25.5">
      <c r="A489" s="16" t="s">
        <v>183</v>
      </c>
      <c r="B489" s="20" t="s">
        <v>65</v>
      </c>
      <c r="C489" s="20" t="s">
        <v>63</v>
      </c>
      <c r="D489" s="97" t="s">
        <v>460</v>
      </c>
      <c r="E489" s="97"/>
      <c r="F489" s="59">
        <f>F490</f>
        <v>35037</v>
      </c>
      <c r="G489" s="59">
        <f t="shared" ref="G489:H490" si="219">G490</f>
        <v>34724</v>
      </c>
      <c r="H489" s="59">
        <f t="shared" si="219"/>
        <v>313</v>
      </c>
      <c r="I489" s="190">
        <f t="shared" si="207"/>
        <v>99.106658675114872</v>
      </c>
    </row>
    <row r="490" spans="1:9" ht="25.5">
      <c r="A490" s="16" t="s">
        <v>93</v>
      </c>
      <c r="B490" s="20" t="s">
        <v>65</v>
      </c>
      <c r="C490" s="20" t="s">
        <v>63</v>
      </c>
      <c r="D490" s="97" t="s">
        <v>460</v>
      </c>
      <c r="E490" s="97" t="s">
        <v>94</v>
      </c>
      <c r="F490" s="59">
        <f>F491</f>
        <v>35037</v>
      </c>
      <c r="G490" s="59">
        <f t="shared" si="219"/>
        <v>34724</v>
      </c>
      <c r="H490" s="59">
        <f t="shared" si="219"/>
        <v>313</v>
      </c>
      <c r="I490" s="190">
        <f t="shared" si="207"/>
        <v>99.106658675114872</v>
      </c>
    </row>
    <row r="491" spans="1:9">
      <c r="A491" s="16" t="s">
        <v>97</v>
      </c>
      <c r="B491" s="20" t="s">
        <v>65</v>
      </c>
      <c r="C491" s="20" t="s">
        <v>63</v>
      </c>
      <c r="D491" s="97" t="s">
        <v>460</v>
      </c>
      <c r="E491" s="97" t="s">
        <v>98</v>
      </c>
      <c r="F491" s="59">
        <f>'пр.4 вед.стр.'!G491</f>
        <v>35037</v>
      </c>
      <c r="G491" s="59">
        <f>'пр.4 вед.стр.'!H491</f>
        <v>34724</v>
      </c>
      <c r="H491" s="59">
        <f>'пр.4 вед.стр.'!I491</f>
        <v>313</v>
      </c>
      <c r="I491" s="190">
        <f t="shared" si="207"/>
        <v>99.106658675114872</v>
      </c>
    </row>
    <row r="492" spans="1:9" ht="51">
      <c r="A492" s="16" t="s">
        <v>202</v>
      </c>
      <c r="B492" s="20" t="s">
        <v>65</v>
      </c>
      <c r="C492" s="20" t="s">
        <v>63</v>
      </c>
      <c r="D492" s="97" t="s">
        <v>461</v>
      </c>
      <c r="E492" s="97"/>
      <c r="F492" s="59">
        <f>F493</f>
        <v>3387.2</v>
      </c>
      <c r="G492" s="59">
        <f t="shared" ref="G492:H493" si="220">G493</f>
        <v>3376</v>
      </c>
      <c r="H492" s="59">
        <f t="shared" si="220"/>
        <v>11.199999999999818</v>
      </c>
      <c r="I492" s="190">
        <f t="shared" si="207"/>
        <v>99.669343410486547</v>
      </c>
    </row>
    <row r="493" spans="1:9" ht="25.5">
      <c r="A493" s="16" t="s">
        <v>93</v>
      </c>
      <c r="B493" s="20" t="s">
        <v>65</v>
      </c>
      <c r="C493" s="20" t="s">
        <v>63</v>
      </c>
      <c r="D493" s="97" t="s">
        <v>461</v>
      </c>
      <c r="E493" s="97" t="s">
        <v>94</v>
      </c>
      <c r="F493" s="59">
        <f>F494</f>
        <v>3387.2</v>
      </c>
      <c r="G493" s="59">
        <f t="shared" si="220"/>
        <v>3376</v>
      </c>
      <c r="H493" s="59">
        <f t="shared" si="220"/>
        <v>11.199999999999818</v>
      </c>
      <c r="I493" s="190">
        <f t="shared" si="207"/>
        <v>99.669343410486547</v>
      </c>
    </row>
    <row r="494" spans="1:9">
      <c r="A494" s="16" t="s">
        <v>97</v>
      </c>
      <c r="B494" s="20" t="s">
        <v>65</v>
      </c>
      <c r="C494" s="20" t="s">
        <v>63</v>
      </c>
      <c r="D494" s="97" t="s">
        <v>461</v>
      </c>
      <c r="E494" s="97" t="s">
        <v>98</v>
      </c>
      <c r="F494" s="59">
        <f>'пр.4 вед.стр.'!G494</f>
        <v>3387.2</v>
      </c>
      <c r="G494" s="59">
        <f>'пр.4 вед.стр.'!H494</f>
        <v>3376</v>
      </c>
      <c r="H494" s="59">
        <f>'пр.4 вед.стр.'!I494</f>
        <v>11.199999999999818</v>
      </c>
      <c r="I494" s="190">
        <f t="shared" si="207"/>
        <v>99.669343410486547</v>
      </c>
    </row>
    <row r="495" spans="1:9">
      <c r="A495" s="16" t="s">
        <v>174</v>
      </c>
      <c r="B495" s="20" t="s">
        <v>65</v>
      </c>
      <c r="C495" s="20" t="s">
        <v>63</v>
      </c>
      <c r="D495" s="97" t="s">
        <v>462</v>
      </c>
      <c r="E495" s="97"/>
      <c r="F495" s="59">
        <f>F496</f>
        <v>613</v>
      </c>
      <c r="G495" s="59">
        <f t="shared" ref="G495:H496" si="221">G496</f>
        <v>612.6</v>
      </c>
      <c r="H495" s="59">
        <f t="shared" si="221"/>
        <v>0.39999999999997726</v>
      </c>
      <c r="I495" s="190">
        <f t="shared" si="207"/>
        <v>99.934747145187615</v>
      </c>
    </row>
    <row r="496" spans="1:9" ht="25.5">
      <c r="A496" s="16" t="s">
        <v>93</v>
      </c>
      <c r="B496" s="20" t="s">
        <v>65</v>
      </c>
      <c r="C496" s="20" t="s">
        <v>63</v>
      </c>
      <c r="D496" s="97" t="s">
        <v>462</v>
      </c>
      <c r="E496" s="97" t="s">
        <v>94</v>
      </c>
      <c r="F496" s="59">
        <f>F497</f>
        <v>613</v>
      </c>
      <c r="G496" s="59">
        <f t="shared" si="221"/>
        <v>612.6</v>
      </c>
      <c r="H496" s="59">
        <f t="shared" si="221"/>
        <v>0.39999999999997726</v>
      </c>
      <c r="I496" s="190">
        <f t="shared" si="207"/>
        <v>99.934747145187615</v>
      </c>
    </row>
    <row r="497" spans="1:9">
      <c r="A497" s="16" t="s">
        <v>97</v>
      </c>
      <c r="B497" s="20" t="s">
        <v>65</v>
      </c>
      <c r="C497" s="20" t="s">
        <v>63</v>
      </c>
      <c r="D497" s="97" t="s">
        <v>462</v>
      </c>
      <c r="E497" s="97" t="s">
        <v>98</v>
      </c>
      <c r="F497" s="59">
        <f>'пр.4 вед.стр.'!G497</f>
        <v>613</v>
      </c>
      <c r="G497" s="59">
        <f>'пр.4 вед.стр.'!H497</f>
        <v>612.6</v>
      </c>
      <c r="H497" s="59">
        <f>'пр.4 вед.стр.'!I497</f>
        <v>0.39999999999997726</v>
      </c>
      <c r="I497" s="190">
        <f t="shared" si="207"/>
        <v>99.934747145187615</v>
      </c>
    </row>
    <row r="498" spans="1:9">
      <c r="A498" s="15" t="s">
        <v>302</v>
      </c>
      <c r="B498" s="31" t="s">
        <v>65</v>
      </c>
      <c r="C498" s="31" t="s">
        <v>66</v>
      </c>
      <c r="D498" s="100"/>
      <c r="E498" s="100"/>
      <c r="F498" s="143">
        <f>F500+F508+F525+F536</f>
        <v>67786.700000000012</v>
      </c>
      <c r="G498" s="143">
        <f t="shared" ref="G498:H498" si="222">G500+G508+G525+G536</f>
        <v>67401.100000000006</v>
      </c>
      <c r="H498" s="143">
        <f t="shared" si="222"/>
        <v>385.6000000000007</v>
      </c>
      <c r="I498" s="190">
        <f t="shared" si="207"/>
        <v>99.431156849352448</v>
      </c>
    </row>
    <row r="499" spans="1:9">
      <c r="A499" s="16" t="s">
        <v>430</v>
      </c>
      <c r="B499" s="20" t="s">
        <v>65</v>
      </c>
      <c r="C499" s="20" t="s">
        <v>66</v>
      </c>
      <c r="D499" s="102" t="s">
        <v>431</v>
      </c>
      <c r="E499" s="97"/>
      <c r="F499" s="59">
        <f>F500+F508+F525</f>
        <v>4443.0999999999995</v>
      </c>
      <c r="G499" s="59">
        <f t="shared" ref="G499:H499" si="223">G500+G508+G525</f>
        <v>4334.2999999999993</v>
      </c>
      <c r="H499" s="59">
        <f t="shared" si="223"/>
        <v>108.79999999999997</v>
      </c>
      <c r="I499" s="190">
        <f t="shared" si="207"/>
        <v>97.551259255924919</v>
      </c>
    </row>
    <row r="500" spans="1:9" ht="38.25">
      <c r="A500" s="28" t="str">
        <f>'пр.4 вед.стр.'!A500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500" s="20" t="s">
        <v>65</v>
      </c>
      <c r="C500" s="19" t="s">
        <v>66</v>
      </c>
      <c r="D500" s="102" t="str">
        <f>'пр.4 вед.стр.'!E500</f>
        <v xml:space="preserve">7Б 0 00 00000 </v>
      </c>
      <c r="E500" s="97"/>
      <c r="F500" s="59">
        <f>F501</f>
        <v>167.09999999999997</v>
      </c>
      <c r="G500" s="59">
        <f t="shared" ref="G500:H500" si="224">G501</f>
        <v>157.80000000000001</v>
      </c>
      <c r="H500" s="59">
        <f t="shared" si="224"/>
        <v>9.2999999999999972</v>
      </c>
      <c r="I500" s="190">
        <f t="shared" si="207"/>
        <v>94.434470377019778</v>
      </c>
    </row>
    <row r="501" spans="1:9" ht="38.25">
      <c r="A501" s="28" t="str">
        <f>'пр.4 вед.стр.'!A501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1" s="20" t="s">
        <v>65</v>
      </c>
      <c r="C501" s="20" t="s">
        <v>66</v>
      </c>
      <c r="D501" s="102" t="str">
        <f>'пр.4 вед.стр.'!E501</f>
        <v xml:space="preserve">7Б 0 01 00000 </v>
      </c>
      <c r="E501" s="97"/>
      <c r="F501" s="59">
        <f>F502+F505</f>
        <v>167.09999999999997</v>
      </c>
      <c r="G501" s="59">
        <f t="shared" ref="G501:H501" si="225">G502+G505</f>
        <v>157.80000000000001</v>
      </c>
      <c r="H501" s="59">
        <f t="shared" si="225"/>
        <v>9.2999999999999972</v>
      </c>
      <c r="I501" s="190">
        <f t="shared" si="207"/>
        <v>94.434470377019778</v>
      </c>
    </row>
    <row r="502" spans="1:9">
      <c r="A502" s="28" t="str">
        <f>'пр.4 вед.стр.'!A502</f>
        <v>Обслуживание систем видеонаблюдения, охранной сигнализации</v>
      </c>
      <c r="B502" s="20" t="s">
        <v>65</v>
      </c>
      <c r="C502" s="20" t="s">
        <v>66</v>
      </c>
      <c r="D502" s="102" t="str">
        <f>'пр.4 вед.стр.'!E502</f>
        <v xml:space="preserve">7Б 0 01 91600 </v>
      </c>
      <c r="E502" s="97"/>
      <c r="F502" s="59">
        <f>F503</f>
        <v>150.29999999999998</v>
      </c>
      <c r="G502" s="59">
        <f t="shared" ref="G502:H503" si="226">G503</f>
        <v>150.30000000000001</v>
      </c>
      <c r="H502" s="59">
        <f t="shared" si="226"/>
        <v>0</v>
      </c>
      <c r="I502" s="190">
        <f t="shared" si="207"/>
        <v>100.00000000000003</v>
      </c>
    </row>
    <row r="503" spans="1:9" ht="25.5">
      <c r="A503" s="28" t="str">
        <f>'пр.4 вед.стр.'!A503</f>
        <v>Предоставление субсидий бюджетным, автономным учреждениям и иным некоммерческим организациям</v>
      </c>
      <c r="B503" s="20" t="s">
        <v>65</v>
      </c>
      <c r="C503" s="20" t="s">
        <v>66</v>
      </c>
      <c r="D503" s="102" t="str">
        <f>'пр.4 вед.стр.'!E503</f>
        <v xml:space="preserve">7Б 0 01 91600 </v>
      </c>
      <c r="E503" s="97" t="str">
        <f>'пр.4 вед.стр.'!F503</f>
        <v>600</v>
      </c>
      <c r="F503" s="59">
        <f>F504</f>
        <v>150.29999999999998</v>
      </c>
      <c r="G503" s="59">
        <f t="shared" si="226"/>
        <v>150.30000000000001</v>
      </c>
      <c r="H503" s="59">
        <f t="shared" si="226"/>
        <v>0</v>
      </c>
      <c r="I503" s="190">
        <f t="shared" si="207"/>
        <v>100.00000000000003</v>
      </c>
    </row>
    <row r="504" spans="1:9">
      <c r="A504" s="28" t="str">
        <f>'пр.4 вед.стр.'!A504</f>
        <v>Субсидии бюджетным учреждениям</v>
      </c>
      <c r="B504" s="20" t="s">
        <v>65</v>
      </c>
      <c r="C504" s="20" t="s">
        <v>66</v>
      </c>
      <c r="D504" s="102" t="str">
        <f>'пр.4 вед.стр.'!E504</f>
        <v xml:space="preserve">7Б 0 01 91600 </v>
      </c>
      <c r="E504" s="97" t="str">
        <f>'пр.4 вед.стр.'!F504</f>
        <v>610</v>
      </c>
      <c r="F504" s="59">
        <f>'пр.4 вед.стр.'!G504</f>
        <v>150.29999999999998</v>
      </c>
      <c r="G504" s="59">
        <f>'пр.4 вед.стр.'!H504</f>
        <v>150.30000000000001</v>
      </c>
      <c r="H504" s="59">
        <f>'пр.4 вед.стр.'!I504</f>
        <v>0</v>
      </c>
      <c r="I504" s="190">
        <f t="shared" si="207"/>
        <v>100.00000000000003</v>
      </c>
    </row>
    <row r="505" spans="1:9">
      <c r="A505" s="28" t="str">
        <f>'пр.4 вед.стр.'!A505</f>
        <v xml:space="preserve">Укрепление материально- технической базы </v>
      </c>
      <c r="B505" s="20" t="s">
        <v>65</v>
      </c>
      <c r="C505" s="20" t="s">
        <v>66</v>
      </c>
      <c r="D505" s="102" t="str">
        <f>'пр.4 вед.стр.'!E505</f>
        <v>7Б 0 01 92500</v>
      </c>
      <c r="E505" s="97"/>
      <c r="F505" s="59">
        <f>F506</f>
        <v>16.799999999999997</v>
      </c>
      <c r="G505" s="59">
        <f t="shared" ref="G505:H506" si="227">G506</f>
        <v>7.5</v>
      </c>
      <c r="H505" s="59">
        <f t="shared" si="227"/>
        <v>9.2999999999999972</v>
      </c>
      <c r="I505" s="190">
        <f t="shared" si="207"/>
        <v>44.642857142857153</v>
      </c>
    </row>
    <row r="506" spans="1:9" ht="25.5">
      <c r="A506" s="28" t="str">
        <f>'пр.4 вед.стр.'!A506</f>
        <v>Предоставление субсидий бюджетным, автономным учреждениям и иным некоммерческим организациям</v>
      </c>
      <c r="B506" s="20" t="s">
        <v>65</v>
      </c>
      <c r="C506" s="20" t="s">
        <v>66</v>
      </c>
      <c r="D506" s="102" t="str">
        <f>'пр.4 вед.стр.'!E506</f>
        <v>7Б 0 01 92500</v>
      </c>
      <c r="E506" s="97" t="str">
        <f>'пр.4 вед.стр.'!F506</f>
        <v>600</v>
      </c>
      <c r="F506" s="59">
        <f>F507</f>
        <v>16.799999999999997</v>
      </c>
      <c r="G506" s="59">
        <f t="shared" si="227"/>
        <v>7.5</v>
      </c>
      <c r="H506" s="59">
        <f t="shared" si="227"/>
        <v>9.2999999999999972</v>
      </c>
      <c r="I506" s="190">
        <f t="shared" si="207"/>
        <v>44.642857142857153</v>
      </c>
    </row>
    <row r="507" spans="1:9">
      <c r="A507" s="28" t="str">
        <f>'пр.4 вед.стр.'!A507</f>
        <v>Субсидии бюджетным учреждениям</v>
      </c>
      <c r="B507" s="20" t="s">
        <v>65</v>
      </c>
      <c r="C507" s="20" t="s">
        <v>66</v>
      </c>
      <c r="D507" s="102" t="str">
        <f>'пр.4 вед.стр.'!E507</f>
        <v>7Б 0 01 92500</v>
      </c>
      <c r="E507" s="97" t="str">
        <f>'пр.4 вед.стр.'!F507</f>
        <v>610</v>
      </c>
      <c r="F507" s="59">
        <f>'пр.4 вед.стр.'!G507</f>
        <v>16.799999999999997</v>
      </c>
      <c r="G507" s="59">
        <f>'пр.4 вед.стр.'!H507</f>
        <v>7.5</v>
      </c>
      <c r="H507" s="59">
        <f>'пр.4 вед.стр.'!I507</f>
        <v>9.2999999999999972</v>
      </c>
      <c r="I507" s="190">
        <f t="shared" si="207"/>
        <v>44.642857142857153</v>
      </c>
    </row>
    <row r="508" spans="1:9" ht="25.5">
      <c r="A508" s="28" t="str">
        <f>'пр.4 вед.стр.'!A508</f>
        <v>Муниципальная программа  "Пожарная безопасность в Сусуманском городском округе на 2018- 2022 годы"</v>
      </c>
      <c r="B508" s="20" t="s">
        <v>65</v>
      </c>
      <c r="C508" s="20" t="s">
        <v>66</v>
      </c>
      <c r="D508" s="102" t="str">
        <f>'пр.4 вед.стр.'!E508</f>
        <v xml:space="preserve">7П 0 00 00000 </v>
      </c>
      <c r="E508" s="97"/>
      <c r="F508" s="59">
        <f>F509</f>
        <v>624.29999999999995</v>
      </c>
      <c r="G508" s="59">
        <f t="shared" ref="G508:H508" si="228">G509</f>
        <v>588.09999999999991</v>
      </c>
      <c r="H508" s="59">
        <f t="shared" si="228"/>
        <v>36.199999999999989</v>
      </c>
      <c r="I508" s="190">
        <f t="shared" si="207"/>
        <v>94.201505686368719</v>
      </c>
    </row>
    <row r="509" spans="1:9" ht="38.25">
      <c r="A509" s="28" t="str">
        <f>'пр.4 вед.стр.'!A509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9" s="20" t="s">
        <v>65</v>
      </c>
      <c r="C509" s="20" t="s">
        <v>66</v>
      </c>
      <c r="D509" s="102" t="str">
        <f>'пр.4 вед.стр.'!E509</f>
        <v xml:space="preserve">7П 0 01 00000 </v>
      </c>
      <c r="E509" s="97"/>
      <c r="F509" s="59">
        <f>F510+F513+F516+F519+F522</f>
        <v>624.29999999999995</v>
      </c>
      <c r="G509" s="59">
        <f t="shared" ref="G509:H509" si="229">G510+G513+G516+G519+G522</f>
        <v>588.09999999999991</v>
      </c>
      <c r="H509" s="59">
        <f t="shared" si="229"/>
        <v>36.199999999999989</v>
      </c>
      <c r="I509" s="190">
        <f t="shared" si="207"/>
        <v>94.201505686368719</v>
      </c>
    </row>
    <row r="510" spans="1:9" ht="38.25">
      <c r="A510" s="28" t="str">
        <f>'пр.4 вед.стр.'!A510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0" s="20" t="s">
        <v>65</v>
      </c>
      <c r="C510" s="20" t="s">
        <v>66</v>
      </c>
      <c r="D510" s="102" t="str">
        <f>'пр.4 вед.стр.'!E510</f>
        <v xml:space="preserve">7П 0 01 94100 </v>
      </c>
      <c r="E510" s="97"/>
      <c r="F510" s="59">
        <f>F511</f>
        <v>460.1</v>
      </c>
      <c r="G510" s="59">
        <f t="shared" ref="G510:H511" si="230">G511</f>
        <v>444.9</v>
      </c>
      <c r="H510" s="59">
        <f t="shared" si="230"/>
        <v>15.199999999999989</v>
      </c>
      <c r="I510" s="190">
        <f t="shared" si="207"/>
        <v>96.696370354270798</v>
      </c>
    </row>
    <row r="511" spans="1:9" ht="25.5">
      <c r="A511" s="28" t="str">
        <f>'пр.4 вед.стр.'!A511</f>
        <v>Предоставление субсидий бюджетным, автономным учреждениям и иным некоммерческим организациям</v>
      </c>
      <c r="B511" s="20" t="s">
        <v>65</v>
      </c>
      <c r="C511" s="20" t="s">
        <v>66</v>
      </c>
      <c r="D511" s="102" t="str">
        <f>'пр.4 вед.стр.'!E511</f>
        <v xml:space="preserve">7П 0 01 94100 </v>
      </c>
      <c r="E511" s="97" t="str">
        <f>'пр.4 вед.стр.'!F511</f>
        <v>600</v>
      </c>
      <c r="F511" s="59">
        <f>F512</f>
        <v>460.1</v>
      </c>
      <c r="G511" s="59">
        <f t="shared" si="230"/>
        <v>444.9</v>
      </c>
      <c r="H511" s="59">
        <f t="shared" si="230"/>
        <v>15.199999999999989</v>
      </c>
      <c r="I511" s="190">
        <f t="shared" si="207"/>
        <v>96.696370354270798</v>
      </c>
    </row>
    <row r="512" spans="1:9">
      <c r="A512" s="28" t="str">
        <f>'пр.4 вед.стр.'!A512</f>
        <v>Субсидии бюджетным учреждениям</v>
      </c>
      <c r="B512" s="20" t="s">
        <v>65</v>
      </c>
      <c r="C512" s="20" t="s">
        <v>66</v>
      </c>
      <c r="D512" s="102" t="str">
        <f>'пр.4 вед.стр.'!E512</f>
        <v xml:space="preserve">7П 0 01 94100 </v>
      </c>
      <c r="E512" s="97" t="str">
        <f>'пр.4 вед.стр.'!F512</f>
        <v>610</v>
      </c>
      <c r="F512" s="59">
        <f>'пр.4 вед.стр.'!G512+'пр.4 вед.стр.'!G637</f>
        <v>460.1</v>
      </c>
      <c r="G512" s="59">
        <f>'пр.4 вед.стр.'!H512+'пр.4 вед.стр.'!H637</f>
        <v>444.9</v>
      </c>
      <c r="H512" s="59">
        <f>'пр.4 вед.стр.'!I512+'пр.4 вед.стр.'!I637</f>
        <v>15.199999999999989</v>
      </c>
      <c r="I512" s="190">
        <f t="shared" si="207"/>
        <v>96.696370354270798</v>
      </c>
    </row>
    <row r="513" spans="1:9">
      <c r="A513" s="28" t="str">
        <f>'пр.4 вед.стр.'!A638</f>
        <v>Обработка сгораемых конструкций огнезащитными составами</v>
      </c>
      <c r="B513" s="20" t="s">
        <v>65</v>
      </c>
      <c r="C513" s="20" t="s">
        <v>66</v>
      </c>
      <c r="D513" s="102" t="str">
        <f>'пр.4 вед.стр.'!E638</f>
        <v xml:space="preserve">7П 0 01 94200 </v>
      </c>
      <c r="E513" s="97"/>
      <c r="F513" s="59">
        <f>F514</f>
        <v>70</v>
      </c>
      <c r="G513" s="59">
        <f t="shared" ref="G513:H514" si="231">G514</f>
        <v>70</v>
      </c>
      <c r="H513" s="59">
        <f t="shared" si="231"/>
        <v>0</v>
      </c>
      <c r="I513" s="190">
        <f t="shared" si="207"/>
        <v>100</v>
      </c>
    </row>
    <row r="514" spans="1:9" ht="25.5">
      <c r="A514" s="28" t="str">
        <f>'пр.4 вед.стр.'!A639</f>
        <v>Предоставление субсидий бюджетным, автономным учреждениям и иным некоммерческим организациям</v>
      </c>
      <c r="B514" s="20" t="s">
        <v>65</v>
      </c>
      <c r="C514" s="20" t="s">
        <v>66</v>
      </c>
      <c r="D514" s="102" t="str">
        <f>'пр.4 вед.стр.'!E639</f>
        <v xml:space="preserve">7П 0 01 94200 </v>
      </c>
      <c r="E514" s="97" t="str">
        <f>'пр.4 вед.стр.'!F639</f>
        <v>600</v>
      </c>
      <c r="F514" s="59">
        <f>F515</f>
        <v>70</v>
      </c>
      <c r="G514" s="59">
        <f t="shared" si="231"/>
        <v>70</v>
      </c>
      <c r="H514" s="59">
        <f t="shared" si="231"/>
        <v>0</v>
      </c>
      <c r="I514" s="190">
        <f t="shared" si="207"/>
        <v>100</v>
      </c>
    </row>
    <row r="515" spans="1:9">
      <c r="A515" s="28" t="str">
        <f>'пр.4 вед.стр.'!A640</f>
        <v>Субсидии бюджетным учреждениям</v>
      </c>
      <c r="B515" s="20" t="s">
        <v>65</v>
      </c>
      <c r="C515" s="20" t="s">
        <v>66</v>
      </c>
      <c r="D515" s="102" t="str">
        <f>'пр.4 вед.стр.'!E640</f>
        <v xml:space="preserve">7П 0 01 94200 </v>
      </c>
      <c r="E515" s="97" t="str">
        <f>'пр.4 вед.стр.'!F640</f>
        <v>610</v>
      </c>
      <c r="F515" s="59">
        <f>'пр.4 вед.стр.'!G639</f>
        <v>70</v>
      </c>
      <c r="G515" s="59">
        <f>'пр.4 вед.стр.'!H639</f>
        <v>70</v>
      </c>
      <c r="H515" s="59">
        <f>'пр.4 вед.стр.'!I639</f>
        <v>0</v>
      </c>
      <c r="I515" s="190">
        <f t="shared" si="207"/>
        <v>100</v>
      </c>
    </row>
    <row r="516" spans="1:9" ht="25.5">
      <c r="A516" s="28" t="str">
        <f>'пр.4 вед.стр.'!A641</f>
        <v>Приобретение и заправка огнетушителей, средств индивидуальной защиты</v>
      </c>
      <c r="B516" s="20" t="s">
        <v>65</v>
      </c>
      <c r="C516" s="20" t="s">
        <v>66</v>
      </c>
      <c r="D516" s="102" t="str">
        <f>'пр.4 вед.стр.'!E641</f>
        <v xml:space="preserve">7П 0 01 94300 </v>
      </c>
      <c r="E516" s="97"/>
      <c r="F516" s="59">
        <f>F517</f>
        <v>40</v>
      </c>
      <c r="G516" s="59">
        <f t="shared" ref="G516:H517" si="232">G517</f>
        <v>19</v>
      </c>
      <c r="H516" s="59">
        <f t="shared" si="232"/>
        <v>21</v>
      </c>
      <c r="I516" s="190">
        <f t="shared" si="207"/>
        <v>47.5</v>
      </c>
    </row>
    <row r="517" spans="1:9" ht="25.5">
      <c r="A517" s="28" t="str">
        <f>'пр.4 вед.стр.'!A642</f>
        <v>Предоставление субсидий бюджетным, автономным учреждениям и иным некоммерческим организациям</v>
      </c>
      <c r="B517" s="20" t="s">
        <v>65</v>
      </c>
      <c r="C517" s="20" t="s">
        <v>66</v>
      </c>
      <c r="D517" s="102" t="str">
        <f>'пр.4 вед.стр.'!E642</f>
        <v xml:space="preserve">7П 0 01 94300 </v>
      </c>
      <c r="E517" s="97" t="str">
        <f>'пр.4 вед.стр.'!F642</f>
        <v>600</v>
      </c>
      <c r="F517" s="59">
        <f>F518</f>
        <v>40</v>
      </c>
      <c r="G517" s="59">
        <f t="shared" si="232"/>
        <v>19</v>
      </c>
      <c r="H517" s="59">
        <f t="shared" si="232"/>
        <v>21</v>
      </c>
      <c r="I517" s="190">
        <f t="shared" si="207"/>
        <v>47.5</v>
      </c>
    </row>
    <row r="518" spans="1:9">
      <c r="A518" s="28" t="str">
        <f>'пр.4 вед.стр.'!A643</f>
        <v>Субсидии бюджетным учреждениям</v>
      </c>
      <c r="B518" s="20" t="s">
        <v>65</v>
      </c>
      <c r="C518" s="20" t="s">
        <v>66</v>
      </c>
      <c r="D518" s="102" t="str">
        <f>'пр.4 вед.стр.'!E643</f>
        <v xml:space="preserve">7П 0 01 94300 </v>
      </c>
      <c r="E518" s="97" t="str">
        <f>'пр.4 вед.стр.'!F643</f>
        <v>610</v>
      </c>
      <c r="F518" s="59">
        <f>'пр.4 вед.стр.'!G643</f>
        <v>40</v>
      </c>
      <c r="G518" s="59">
        <f>'пр.4 вед.стр.'!H643</f>
        <v>19</v>
      </c>
      <c r="H518" s="59">
        <f>'пр.4 вед.стр.'!I643</f>
        <v>21</v>
      </c>
      <c r="I518" s="190">
        <f t="shared" si="207"/>
        <v>47.5</v>
      </c>
    </row>
    <row r="519" spans="1:9" ht="25.5">
      <c r="A519" s="28" t="str">
        <f>'пр.4 вед.стр.'!A513</f>
        <v>Проведение замеров сопротивления изоляции электросетей и электрооборудования</v>
      </c>
      <c r="B519" s="20" t="s">
        <v>65</v>
      </c>
      <c r="C519" s="20" t="s">
        <v>66</v>
      </c>
      <c r="D519" s="102" t="str">
        <f>'пр.4 вед.стр.'!E513</f>
        <v xml:space="preserve">7П 0 01 94400 </v>
      </c>
      <c r="E519" s="97"/>
      <c r="F519" s="59">
        <f>F520</f>
        <v>38.4</v>
      </c>
      <c r="G519" s="59">
        <f t="shared" ref="G519:H520" si="233">G520</f>
        <v>38.4</v>
      </c>
      <c r="H519" s="59">
        <f t="shared" si="233"/>
        <v>0</v>
      </c>
      <c r="I519" s="190">
        <f t="shared" si="207"/>
        <v>100</v>
      </c>
    </row>
    <row r="520" spans="1:9" ht="25.5">
      <c r="A520" s="28" t="str">
        <f>'пр.4 вед.стр.'!A514</f>
        <v>Предоставление субсидий бюджетным, автономным учреждениям и иным некоммерческим организациям</v>
      </c>
      <c r="B520" s="20" t="s">
        <v>65</v>
      </c>
      <c r="C520" s="20" t="s">
        <v>66</v>
      </c>
      <c r="D520" s="102" t="str">
        <f>'пр.4 вед.стр.'!E514</f>
        <v xml:space="preserve">7П 0 01 94400 </v>
      </c>
      <c r="E520" s="97" t="str">
        <f>'пр.4 вед.стр.'!F514</f>
        <v>600</v>
      </c>
      <c r="F520" s="59">
        <f>F521</f>
        <v>38.4</v>
      </c>
      <c r="G520" s="59">
        <f t="shared" si="233"/>
        <v>38.4</v>
      </c>
      <c r="H520" s="59">
        <f t="shared" si="233"/>
        <v>0</v>
      </c>
      <c r="I520" s="190">
        <f t="shared" si="207"/>
        <v>100</v>
      </c>
    </row>
    <row r="521" spans="1:9">
      <c r="A521" s="28" t="str">
        <f>'пр.4 вед.стр.'!A515</f>
        <v>Субсидии бюджетным учреждениям</v>
      </c>
      <c r="B521" s="20" t="s">
        <v>65</v>
      </c>
      <c r="C521" s="20" t="s">
        <v>66</v>
      </c>
      <c r="D521" s="102" t="str">
        <f>'пр.4 вед.стр.'!E515</f>
        <v xml:space="preserve">7П 0 01 94400 </v>
      </c>
      <c r="E521" s="97" t="str">
        <f>'пр.4 вед.стр.'!F515</f>
        <v>610</v>
      </c>
      <c r="F521" s="59">
        <f>'пр.4 вед.стр.'!G515</f>
        <v>38.4</v>
      </c>
      <c r="G521" s="59">
        <f>'пр.4 вед.стр.'!H515</f>
        <v>38.4</v>
      </c>
      <c r="H521" s="59">
        <f>'пр.4 вед.стр.'!I515</f>
        <v>0</v>
      </c>
      <c r="I521" s="190">
        <f t="shared" si="207"/>
        <v>100</v>
      </c>
    </row>
    <row r="522" spans="1:9" ht="25.5">
      <c r="A522" s="28" t="str">
        <f>'пр.4 вед.стр.'!A516</f>
        <v>Проведение проверок исправности и ремонт систем противопожарного водоснабжения, приобретение и обслуживание гидрантов</v>
      </c>
      <c r="B522" s="20" t="s">
        <v>65</v>
      </c>
      <c r="C522" s="20" t="s">
        <v>66</v>
      </c>
      <c r="D522" s="102" t="str">
        <f>'пр.4 вед.стр.'!E516</f>
        <v xml:space="preserve">7П 0 01 94500 </v>
      </c>
      <c r="E522" s="97"/>
      <c r="F522" s="59">
        <f>F523</f>
        <v>15.8</v>
      </c>
      <c r="G522" s="59">
        <f t="shared" ref="G522:H523" si="234">G523</f>
        <v>15.8</v>
      </c>
      <c r="H522" s="59">
        <f t="shared" si="234"/>
        <v>0</v>
      </c>
      <c r="I522" s="190">
        <f t="shared" ref="I522:I585" si="235">G522/F522*100</f>
        <v>100</v>
      </c>
    </row>
    <row r="523" spans="1:9" ht="25.5">
      <c r="A523" s="28" t="str">
        <f>'пр.4 вед.стр.'!A517</f>
        <v>Предоставление субсидий бюджетным, автономным учреждениям и иным некоммерческим организациям</v>
      </c>
      <c r="B523" s="20" t="s">
        <v>65</v>
      </c>
      <c r="C523" s="20" t="s">
        <v>66</v>
      </c>
      <c r="D523" s="102" t="str">
        <f>'пр.4 вед.стр.'!E517</f>
        <v xml:space="preserve">7П 0 01 94500 </v>
      </c>
      <c r="E523" s="97" t="str">
        <f>'пр.4 вед.стр.'!F517</f>
        <v>600</v>
      </c>
      <c r="F523" s="59">
        <f>F524</f>
        <v>15.8</v>
      </c>
      <c r="G523" s="59">
        <f t="shared" si="234"/>
        <v>15.8</v>
      </c>
      <c r="H523" s="59">
        <f t="shared" si="234"/>
        <v>0</v>
      </c>
      <c r="I523" s="190">
        <f t="shared" si="235"/>
        <v>100</v>
      </c>
    </row>
    <row r="524" spans="1:9">
      <c r="A524" s="28" t="str">
        <f>'пр.4 вед.стр.'!A518</f>
        <v>Субсидии бюджетным учреждениям</v>
      </c>
      <c r="B524" s="20" t="s">
        <v>65</v>
      </c>
      <c r="C524" s="20" t="s">
        <v>66</v>
      </c>
      <c r="D524" s="102" t="str">
        <f>'пр.4 вед.стр.'!E518</f>
        <v xml:space="preserve">7П 0 01 94500 </v>
      </c>
      <c r="E524" s="97" t="str">
        <f>'пр.4 вед.стр.'!F518</f>
        <v>610</v>
      </c>
      <c r="F524" s="59">
        <f>'пр.4 вед.стр.'!G518</f>
        <v>15.8</v>
      </c>
      <c r="G524" s="59">
        <f>'пр.4 вед.стр.'!H518</f>
        <v>15.8</v>
      </c>
      <c r="H524" s="59">
        <f>'пр.4 вед.стр.'!I518</f>
        <v>0</v>
      </c>
      <c r="I524" s="190">
        <f t="shared" si="235"/>
        <v>100</v>
      </c>
    </row>
    <row r="525" spans="1:9" ht="25.5">
      <c r="A525" s="28" t="str">
        <f>'пр.4 вед.стр.'!A519</f>
        <v>Муниципальная  программа  "Развитие образования в Сусуманском городском округе  на 2018- 2022 годы"</v>
      </c>
      <c r="B525" s="20" t="s">
        <v>65</v>
      </c>
      <c r="C525" s="20" t="s">
        <v>66</v>
      </c>
      <c r="D525" s="97" t="str">
        <f>'пр.4 вед.стр.'!E519</f>
        <v xml:space="preserve">7Р 0 00 00000 </v>
      </c>
      <c r="E525" s="100"/>
      <c r="F525" s="59">
        <f>F526</f>
        <v>3651.7</v>
      </c>
      <c r="G525" s="59">
        <f t="shared" ref="G525:H525" si="236">G526</f>
        <v>3588.3999999999996</v>
      </c>
      <c r="H525" s="59">
        <f t="shared" si="236"/>
        <v>63.299999999999983</v>
      </c>
      <c r="I525" s="190">
        <f t="shared" si="235"/>
        <v>98.266560779910719</v>
      </c>
    </row>
    <row r="526" spans="1:9">
      <c r="A526" s="16" t="str">
        <f>'пр.4 вед.стр.'!A520</f>
        <v>Основное мероприятие "Управление развитием отрасли образования"</v>
      </c>
      <c r="B526" s="20" t="s">
        <v>65</v>
      </c>
      <c r="C526" s="20" t="s">
        <v>66</v>
      </c>
      <c r="D526" s="97" t="str">
        <f>'пр.4 вед.стр.'!E520</f>
        <v>7Р 0 02 00000</v>
      </c>
      <c r="E526" s="100"/>
      <c r="F526" s="59">
        <f>F527+F530+F533</f>
        <v>3651.7</v>
      </c>
      <c r="G526" s="59">
        <f t="shared" ref="G526:H526" si="237">G527+G530+G533</f>
        <v>3588.3999999999996</v>
      </c>
      <c r="H526" s="59">
        <f t="shared" si="237"/>
        <v>63.299999999999983</v>
      </c>
      <c r="I526" s="190">
        <f t="shared" si="235"/>
        <v>98.266560779910719</v>
      </c>
    </row>
    <row r="527" spans="1:9" ht="38.25">
      <c r="A527" s="16" t="str">
        <f>'пр.4 вед.стр.'!A521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7" s="20" t="s">
        <v>65</v>
      </c>
      <c r="C527" s="20" t="s">
        <v>66</v>
      </c>
      <c r="D527" s="97" t="str">
        <f>'пр.4 вед.стр.'!E521</f>
        <v>7Р 0 02 74060</v>
      </c>
      <c r="E527" s="97"/>
      <c r="F527" s="59">
        <f>F528</f>
        <v>310.29999999999995</v>
      </c>
      <c r="G527" s="59">
        <f t="shared" ref="G527:H528" si="238">G528</f>
        <v>301.2</v>
      </c>
      <c r="H527" s="59">
        <f t="shared" si="238"/>
        <v>9.0999999999999943</v>
      </c>
      <c r="I527" s="190">
        <f t="shared" si="235"/>
        <v>97.067354173380608</v>
      </c>
    </row>
    <row r="528" spans="1:9" ht="25.5">
      <c r="A528" s="16" t="str">
        <f>'пр.4 вед.стр.'!A522</f>
        <v>Предоставление субсидий бюджетным, автономным учреждениям и иным некоммерческим организациям</v>
      </c>
      <c r="B528" s="20" t="s">
        <v>65</v>
      </c>
      <c r="C528" s="20" t="s">
        <v>66</v>
      </c>
      <c r="D528" s="97" t="str">
        <f>'пр.4 вед.стр.'!E522</f>
        <v>7Р 0 02 74060</v>
      </c>
      <c r="E528" s="97" t="str">
        <f>'пр.4 вед.стр.'!F522</f>
        <v>600</v>
      </c>
      <c r="F528" s="59">
        <f>F529</f>
        <v>310.29999999999995</v>
      </c>
      <c r="G528" s="59">
        <f t="shared" si="238"/>
        <v>301.2</v>
      </c>
      <c r="H528" s="59">
        <f t="shared" si="238"/>
        <v>9.0999999999999943</v>
      </c>
      <c r="I528" s="190">
        <f t="shared" si="235"/>
        <v>97.067354173380608</v>
      </c>
    </row>
    <row r="529" spans="1:9">
      <c r="A529" s="16" t="str">
        <f>'пр.4 вед.стр.'!A523</f>
        <v>Субсидии бюджетным учреждениям</v>
      </c>
      <c r="B529" s="20" t="s">
        <v>65</v>
      </c>
      <c r="C529" s="20" t="s">
        <v>66</v>
      </c>
      <c r="D529" s="97" t="str">
        <f>'пр.4 вед.стр.'!E523</f>
        <v>7Р 0 02 74060</v>
      </c>
      <c r="E529" s="97" t="str">
        <f>'пр.4 вед.стр.'!F523</f>
        <v>610</v>
      </c>
      <c r="F529" s="59">
        <f>'пр.4 вед.стр.'!G523+'пр.4 вед.стр.'!G648</f>
        <v>310.29999999999995</v>
      </c>
      <c r="G529" s="59">
        <f>'пр.4 вед.стр.'!H523+'пр.4 вед.стр.'!H648</f>
        <v>301.2</v>
      </c>
      <c r="H529" s="59">
        <f>'пр.4 вед.стр.'!I523+'пр.4 вед.стр.'!I648</f>
        <v>9.0999999999999943</v>
      </c>
      <c r="I529" s="190">
        <f t="shared" si="235"/>
        <v>97.067354173380608</v>
      </c>
    </row>
    <row r="530" spans="1:9" ht="51">
      <c r="A530" s="16" t="str">
        <f>'пр.4 вед.стр.'!A524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30" s="20" t="s">
        <v>65</v>
      </c>
      <c r="C530" s="20" t="s">
        <v>66</v>
      </c>
      <c r="D530" s="97" t="str">
        <f>'пр.4 вед.стр.'!E524</f>
        <v>7Р 0 02 74070</v>
      </c>
      <c r="E530" s="97"/>
      <c r="F530" s="59">
        <f>F531</f>
        <v>1130.1999999999998</v>
      </c>
      <c r="G530" s="59">
        <f t="shared" ref="G530:H531" si="239">G531</f>
        <v>1076</v>
      </c>
      <c r="H530" s="59">
        <f t="shared" si="239"/>
        <v>54.199999999999989</v>
      </c>
      <c r="I530" s="190">
        <f t="shared" si="235"/>
        <v>95.204388603786967</v>
      </c>
    </row>
    <row r="531" spans="1:9" ht="25.5">
      <c r="A531" s="16" t="str">
        <f>'пр.4 вед.стр.'!A525</f>
        <v>Предоставление субсидий бюджетным, автономным учреждениям и иным некоммерческим организациям</v>
      </c>
      <c r="B531" s="20" t="s">
        <v>65</v>
      </c>
      <c r="C531" s="20" t="s">
        <v>66</v>
      </c>
      <c r="D531" s="97" t="str">
        <f>'пр.4 вед.стр.'!E525</f>
        <v>7Р 0 02 74070</v>
      </c>
      <c r="E531" s="97" t="str">
        <f>'пр.4 вед.стр.'!F525</f>
        <v>600</v>
      </c>
      <c r="F531" s="59">
        <f>F532</f>
        <v>1130.1999999999998</v>
      </c>
      <c r="G531" s="59">
        <f t="shared" si="239"/>
        <v>1076</v>
      </c>
      <c r="H531" s="59">
        <f t="shared" si="239"/>
        <v>54.199999999999989</v>
      </c>
      <c r="I531" s="190">
        <f t="shared" si="235"/>
        <v>95.204388603786967</v>
      </c>
    </row>
    <row r="532" spans="1:9">
      <c r="A532" s="16" t="str">
        <f>'пр.4 вед.стр.'!A526</f>
        <v>Субсидии бюджетным учреждениям</v>
      </c>
      <c r="B532" s="20" t="s">
        <v>65</v>
      </c>
      <c r="C532" s="20" t="s">
        <v>66</v>
      </c>
      <c r="D532" s="97" t="str">
        <f>'пр.4 вед.стр.'!E526</f>
        <v>7Р 0 02 74070</v>
      </c>
      <c r="E532" s="97" t="str">
        <f>'пр.4 вед.стр.'!F526</f>
        <v>610</v>
      </c>
      <c r="F532" s="59">
        <f>'пр.4 вед.стр.'!G651+'пр.4 вед.стр.'!G526</f>
        <v>1130.1999999999998</v>
      </c>
      <c r="G532" s="59">
        <f>'пр.4 вед.стр.'!H651+'пр.4 вед.стр.'!H526</f>
        <v>1076</v>
      </c>
      <c r="H532" s="59">
        <f>'пр.4 вед.стр.'!I651+'пр.4 вед.стр.'!I526</f>
        <v>54.199999999999989</v>
      </c>
      <c r="I532" s="190">
        <f t="shared" si="235"/>
        <v>95.204388603786967</v>
      </c>
    </row>
    <row r="533" spans="1:9" ht="38.25">
      <c r="A533" s="16" t="str">
        <f>'пр.4 вед.стр.'!A527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33" s="20" t="s">
        <v>65</v>
      </c>
      <c r="C533" s="20" t="s">
        <v>66</v>
      </c>
      <c r="D533" s="97" t="str">
        <f>'пр.4 вед.стр.'!E527</f>
        <v>7Р 0 02 75010</v>
      </c>
      <c r="E533" s="97"/>
      <c r="F533" s="59">
        <f>F534</f>
        <v>2211.1999999999998</v>
      </c>
      <c r="G533" s="59">
        <f t="shared" ref="G533:H534" si="240">G534</f>
        <v>2211.1999999999998</v>
      </c>
      <c r="H533" s="59">
        <f t="shared" si="240"/>
        <v>0</v>
      </c>
      <c r="I533" s="190">
        <f t="shared" si="235"/>
        <v>100</v>
      </c>
    </row>
    <row r="534" spans="1:9" ht="25.5">
      <c r="A534" s="16" t="str">
        <f>'пр.4 вед.стр.'!A528</f>
        <v>Предоставление субсидий бюджетным, автономным учреждениям и иным некоммерческим организациям</v>
      </c>
      <c r="B534" s="20" t="s">
        <v>65</v>
      </c>
      <c r="C534" s="20" t="s">
        <v>66</v>
      </c>
      <c r="D534" s="97" t="str">
        <f>'пр.4 вед.стр.'!E528</f>
        <v>7Р 0 02 75010</v>
      </c>
      <c r="E534" s="97" t="str">
        <f>'пр.4 вед.стр.'!F528</f>
        <v>600</v>
      </c>
      <c r="F534" s="59">
        <f>F535</f>
        <v>2211.1999999999998</v>
      </c>
      <c r="G534" s="59">
        <f t="shared" si="240"/>
        <v>2211.1999999999998</v>
      </c>
      <c r="H534" s="59">
        <f t="shared" si="240"/>
        <v>0</v>
      </c>
      <c r="I534" s="190">
        <f t="shared" si="235"/>
        <v>100</v>
      </c>
    </row>
    <row r="535" spans="1:9">
      <c r="A535" s="16" t="str">
        <f>'пр.4 вед.стр.'!A529</f>
        <v>Субсидии бюджетным учреждениям</v>
      </c>
      <c r="B535" s="20" t="s">
        <v>65</v>
      </c>
      <c r="C535" s="20" t="s">
        <v>66</v>
      </c>
      <c r="D535" s="97" t="str">
        <f>'пр.4 вед.стр.'!E529</f>
        <v>7Р 0 02 75010</v>
      </c>
      <c r="E535" s="97" t="str">
        <f>'пр.4 вед.стр.'!F529</f>
        <v>610</v>
      </c>
      <c r="F535" s="59">
        <f>'пр.4 вед.стр.'!G529+'пр.4 вед.стр.'!G654</f>
        <v>2211.1999999999998</v>
      </c>
      <c r="G535" s="59">
        <f>'пр.4 вед.стр.'!H529+'пр.4 вед.стр.'!H654</f>
        <v>2211.1999999999998</v>
      </c>
      <c r="H535" s="59">
        <f>'пр.4 вед.стр.'!I529+'пр.4 вед.стр.'!I654</f>
        <v>0</v>
      </c>
      <c r="I535" s="190">
        <f t="shared" si="235"/>
        <v>100</v>
      </c>
    </row>
    <row r="536" spans="1:9">
      <c r="A536" s="16" t="s">
        <v>226</v>
      </c>
      <c r="B536" s="20" t="s">
        <v>65</v>
      </c>
      <c r="C536" s="20" t="s">
        <v>66</v>
      </c>
      <c r="D536" s="97" t="s">
        <v>463</v>
      </c>
      <c r="E536" s="97"/>
      <c r="F536" s="59">
        <f>F537+F540+F543</f>
        <v>63343.600000000006</v>
      </c>
      <c r="G536" s="59">
        <f t="shared" ref="G536:H536" si="241">G537+G540+G543</f>
        <v>63066.8</v>
      </c>
      <c r="H536" s="59">
        <f t="shared" si="241"/>
        <v>276.80000000000075</v>
      </c>
      <c r="I536" s="190">
        <f t="shared" si="235"/>
        <v>99.563018205469845</v>
      </c>
    </row>
    <row r="537" spans="1:9" ht="25.5">
      <c r="A537" s="16" t="s">
        <v>183</v>
      </c>
      <c r="B537" s="20" t="s">
        <v>65</v>
      </c>
      <c r="C537" s="20" t="s">
        <v>66</v>
      </c>
      <c r="D537" s="97" t="s">
        <v>464</v>
      </c>
      <c r="E537" s="97"/>
      <c r="F537" s="59">
        <f>F538</f>
        <v>62273.100000000006</v>
      </c>
      <c r="G537" s="59">
        <f t="shared" ref="G537:H538" si="242">G538</f>
        <v>62044.4</v>
      </c>
      <c r="H537" s="59">
        <f t="shared" si="242"/>
        <v>228.70000000000073</v>
      </c>
      <c r="I537" s="190">
        <f t="shared" si="235"/>
        <v>99.632746723705736</v>
      </c>
    </row>
    <row r="538" spans="1:9" ht="25.5">
      <c r="A538" s="16" t="s">
        <v>93</v>
      </c>
      <c r="B538" s="20" t="s">
        <v>65</v>
      </c>
      <c r="C538" s="20" t="s">
        <v>66</v>
      </c>
      <c r="D538" s="97" t="s">
        <v>464</v>
      </c>
      <c r="E538" s="97" t="s">
        <v>94</v>
      </c>
      <c r="F538" s="59">
        <f>F539</f>
        <v>62273.100000000006</v>
      </c>
      <c r="G538" s="59">
        <f t="shared" si="242"/>
        <v>62044.4</v>
      </c>
      <c r="H538" s="59">
        <f t="shared" si="242"/>
        <v>228.70000000000073</v>
      </c>
      <c r="I538" s="190">
        <f t="shared" si="235"/>
        <v>99.632746723705736</v>
      </c>
    </row>
    <row r="539" spans="1:9">
      <c r="A539" s="16" t="s">
        <v>97</v>
      </c>
      <c r="B539" s="20" t="s">
        <v>65</v>
      </c>
      <c r="C539" s="20" t="s">
        <v>66</v>
      </c>
      <c r="D539" s="97" t="s">
        <v>464</v>
      </c>
      <c r="E539" s="97" t="s">
        <v>98</v>
      </c>
      <c r="F539" s="59">
        <f>'пр.4 вед.стр.'!G658+'пр.4 вед.стр.'!G533</f>
        <v>62273.100000000006</v>
      </c>
      <c r="G539" s="59">
        <f>'пр.4 вед.стр.'!H658+'пр.4 вед.стр.'!H533</f>
        <v>62044.4</v>
      </c>
      <c r="H539" s="59">
        <f>'пр.4 вед.стр.'!I658+'пр.4 вед.стр.'!I533</f>
        <v>228.70000000000073</v>
      </c>
      <c r="I539" s="190">
        <f t="shared" si="235"/>
        <v>99.632746723705736</v>
      </c>
    </row>
    <row r="540" spans="1:9" ht="51">
      <c r="A540" s="16" t="s">
        <v>202</v>
      </c>
      <c r="B540" s="20" t="s">
        <v>65</v>
      </c>
      <c r="C540" s="20" t="s">
        <v>66</v>
      </c>
      <c r="D540" s="97" t="s">
        <v>465</v>
      </c>
      <c r="E540" s="97"/>
      <c r="F540" s="59">
        <f>F541</f>
        <v>954.5</v>
      </c>
      <c r="G540" s="59">
        <f t="shared" ref="G540:H541" si="243">G541</f>
        <v>954</v>
      </c>
      <c r="H540" s="59">
        <f t="shared" si="243"/>
        <v>0.5</v>
      </c>
      <c r="I540" s="190">
        <f t="shared" si="235"/>
        <v>99.947616553169198</v>
      </c>
    </row>
    <row r="541" spans="1:9" ht="25.5">
      <c r="A541" s="16" t="s">
        <v>93</v>
      </c>
      <c r="B541" s="20" t="s">
        <v>65</v>
      </c>
      <c r="C541" s="20" t="s">
        <v>66</v>
      </c>
      <c r="D541" s="97" t="s">
        <v>465</v>
      </c>
      <c r="E541" s="97" t="s">
        <v>94</v>
      </c>
      <c r="F541" s="59">
        <f>F542</f>
        <v>954.5</v>
      </c>
      <c r="G541" s="59">
        <f t="shared" si="243"/>
        <v>954</v>
      </c>
      <c r="H541" s="59">
        <f t="shared" si="243"/>
        <v>0.5</v>
      </c>
      <c r="I541" s="190">
        <f t="shared" si="235"/>
        <v>99.947616553169198</v>
      </c>
    </row>
    <row r="542" spans="1:9">
      <c r="A542" s="16" t="s">
        <v>97</v>
      </c>
      <c r="B542" s="20" t="s">
        <v>65</v>
      </c>
      <c r="C542" s="20" t="s">
        <v>66</v>
      </c>
      <c r="D542" s="97" t="s">
        <v>465</v>
      </c>
      <c r="E542" s="97" t="s">
        <v>98</v>
      </c>
      <c r="F542" s="59">
        <f>'пр.4 вед.стр.'!G534+'пр.4 вед.стр.'!G661</f>
        <v>954.5</v>
      </c>
      <c r="G542" s="59">
        <f>'пр.4 вед.стр.'!H534+'пр.4 вед.стр.'!H661</f>
        <v>954</v>
      </c>
      <c r="H542" s="59">
        <f>'пр.4 вед.стр.'!I534+'пр.4 вед.стр.'!I661</f>
        <v>0.5</v>
      </c>
      <c r="I542" s="190">
        <f t="shared" si="235"/>
        <v>99.947616553169198</v>
      </c>
    </row>
    <row r="543" spans="1:9">
      <c r="A543" s="16" t="s">
        <v>174</v>
      </c>
      <c r="B543" s="20" t="s">
        <v>65</v>
      </c>
      <c r="C543" s="20" t="s">
        <v>66</v>
      </c>
      <c r="D543" s="97" t="s">
        <v>466</v>
      </c>
      <c r="E543" s="97"/>
      <c r="F543" s="59">
        <f>F544</f>
        <v>116</v>
      </c>
      <c r="G543" s="59">
        <f t="shared" ref="G543:H544" si="244">G544</f>
        <v>68.400000000000006</v>
      </c>
      <c r="H543" s="59">
        <f t="shared" si="244"/>
        <v>47.6</v>
      </c>
      <c r="I543" s="190">
        <f t="shared" si="235"/>
        <v>58.965517241379317</v>
      </c>
    </row>
    <row r="544" spans="1:9" ht="25.5">
      <c r="A544" s="16" t="s">
        <v>93</v>
      </c>
      <c r="B544" s="20" t="s">
        <v>65</v>
      </c>
      <c r="C544" s="20" t="s">
        <v>66</v>
      </c>
      <c r="D544" s="97" t="s">
        <v>466</v>
      </c>
      <c r="E544" s="97" t="s">
        <v>94</v>
      </c>
      <c r="F544" s="59">
        <f>F545</f>
        <v>116</v>
      </c>
      <c r="G544" s="59">
        <f t="shared" si="244"/>
        <v>68.400000000000006</v>
      </c>
      <c r="H544" s="59">
        <f t="shared" si="244"/>
        <v>47.6</v>
      </c>
      <c r="I544" s="190">
        <f t="shared" si="235"/>
        <v>58.965517241379317</v>
      </c>
    </row>
    <row r="545" spans="1:9">
      <c r="A545" s="16" t="s">
        <v>97</v>
      </c>
      <c r="B545" s="20" t="s">
        <v>65</v>
      </c>
      <c r="C545" s="20" t="s">
        <v>66</v>
      </c>
      <c r="D545" s="97" t="s">
        <v>466</v>
      </c>
      <c r="E545" s="97" t="s">
        <v>98</v>
      </c>
      <c r="F545" s="59">
        <f>'пр.4 вед.стр.'!G537+'пр.4 вед.стр.'!G664</f>
        <v>116</v>
      </c>
      <c r="G545" s="59">
        <f>'пр.4 вед.стр.'!H537+'пр.4 вед.стр.'!H664</f>
        <v>68.400000000000006</v>
      </c>
      <c r="H545" s="59">
        <f>'пр.4 вед.стр.'!I537+'пр.4 вед.стр.'!I664</f>
        <v>47.6</v>
      </c>
      <c r="I545" s="190">
        <f t="shared" si="235"/>
        <v>58.965517241379317</v>
      </c>
    </row>
    <row r="546" spans="1:9">
      <c r="A546" s="14" t="s">
        <v>333</v>
      </c>
      <c r="B546" s="31" t="s">
        <v>65</v>
      </c>
      <c r="C546" s="31" t="s">
        <v>65</v>
      </c>
      <c r="D546" s="100"/>
      <c r="E546" s="100"/>
      <c r="F546" s="143">
        <f>F547+F600</f>
        <v>11437.5</v>
      </c>
      <c r="G546" s="143">
        <f t="shared" ref="G546:H546" si="245">G547+G600</f>
        <v>11011.1</v>
      </c>
      <c r="H546" s="143">
        <f t="shared" si="245"/>
        <v>426.40000000000032</v>
      </c>
      <c r="I546" s="190">
        <f t="shared" si="235"/>
        <v>96.271912568306021</v>
      </c>
    </row>
    <row r="547" spans="1:9">
      <c r="A547" s="29" t="s">
        <v>430</v>
      </c>
      <c r="B547" s="20" t="s">
        <v>65</v>
      </c>
      <c r="C547" s="20" t="s">
        <v>65</v>
      </c>
      <c r="D547" s="102" t="s">
        <v>431</v>
      </c>
      <c r="E547" s="97"/>
      <c r="F547" s="59">
        <f>F548+F555+F565+F577+F595</f>
        <v>11402.5</v>
      </c>
      <c r="G547" s="59">
        <f t="shared" ref="G547:H547" si="246">G548+G555+G565+G577+G595</f>
        <v>10976.1</v>
      </c>
      <c r="H547" s="59">
        <f t="shared" si="246"/>
        <v>426.40000000000032</v>
      </c>
      <c r="I547" s="190">
        <f t="shared" si="235"/>
        <v>96.260469195351888</v>
      </c>
    </row>
    <row r="548" spans="1:9" ht="25.5">
      <c r="A548" s="28" t="str">
        <f>'пр.4 вед.стр.'!A542</f>
        <v>Муниципальная программа "Патриотическое воспитание  жителей Сусуманского городского округа  на 2018- 2022 годы"</v>
      </c>
      <c r="B548" s="20" t="s">
        <v>65</v>
      </c>
      <c r="C548" s="20" t="s">
        <v>65</v>
      </c>
      <c r="D548" s="102" t="str">
        <f>'пр.4 вед.стр.'!E542</f>
        <v xml:space="preserve">7В 0 00 00000 </v>
      </c>
      <c r="E548" s="97"/>
      <c r="F548" s="59">
        <f t="shared" ref="F548:H553" si="247">F549</f>
        <v>1633.3</v>
      </c>
      <c r="G548" s="59">
        <f t="shared" si="247"/>
        <v>1633.3</v>
      </c>
      <c r="H548" s="59">
        <f t="shared" si="247"/>
        <v>0</v>
      </c>
      <c r="I548" s="190">
        <f t="shared" si="235"/>
        <v>100</v>
      </c>
    </row>
    <row r="549" spans="1:9" ht="25.5">
      <c r="A549" s="28" t="str">
        <f>'пр.4 вед.стр.'!A543</f>
        <v>Основное мероприятие "Организация работы по совершенствованию системы патриотического воспитания жителей"</v>
      </c>
      <c r="B549" s="20" t="s">
        <v>65</v>
      </c>
      <c r="C549" s="20" t="s">
        <v>65</v>
      </c>
      <c r="D549" s="102" t="str">
        <f>'пр.4 вед.стр.'!E543</f>
        <v xml:space="preserve">7В 0 01 00000 </v>
      </c>
      <c r="E549" s="97"/>
      <c r="F549" s="59">
        <f t="shared" si="247"/>
        <v>1633.3</v>
      </c>
      <c r="G549" s="59">
        <f t="shared" si="247"/>
        <v>1633.3</v>
      </c>
      <c r="H549" s="59">
        <f t="shared" si="247"/>
        <v>0</v>
      </c>
      <c r="I549" s="190">
        <f t="shared" si="235"/>
        <v>100</v>
      </c>
    </row>
    <row r="550" spans="1:9">
      <c r="A550" s="28" t="str">
        <f>'пр.4 вед.стр.'!A544</f>
        <v>Мероприятия патриотической направленности</v>
      </c>
      <c r="B550" s="20" t="s">
        <v>65</v>
      </c>
      <c r="C550" s="20" t="s">
        <v>65</v>
      </c>
      <c r="D550" s="102" t="str">
        <f>'пр.4 вед.стр.'!E544</f>
        <v xml:space="preserve">7В 0 01 92400 </v>
      </c>
      <c r="E550" s="97"/>
      <c r="F550" s="59">
        <f>F553+F551</f>
        <v>1633.3</v>
      </c>
      <c r="G550" s="59">
        <f t="shared" ref="G550:H550" si="248">G553+G551</f>
        <v>1633.3</v>
      </c>
      <c r="H550" s="59">
        <f t="shared" si="248"/>
        <v>0</v>
      </c>
      <c r="I550" s="190">
        <f t="shared" si="235"/>
        <v>100</v>
      </c>
    </row>
    <row r="551" spans="1:9" ht="25.5">
      <c r="A551" s="28" t="str">
        <f>'пр.4 вед.стр.'!A670</f>
        <v>Закупка товаров, работ и услуг для обеспечения государственных (муниципальных) нужд</v>
      </c>
      <c r="B551" s="20" t="s">
        <v>65</v>
      </c>
      <c r="C551" s="20" t="s">
        <v>65</v>
      </c>
      <c r="D551" s="102" t="str">
        <f>'пр.4 вед.стр.'!E545</f>
        <v xml:space="preserve">7В 0 01 92400 </v>
      </c>
      <c r="E551" s="97" t="str">
        <f>'пр.4 вед.стр.'!F670</f>
        <v>200</v>
      </c>
      <c r="F551" s="59">
        <f>F552</f>
        <v>1524.8</v>
      </c>
      <c r="G551" s="59">
        <f t="shared" ref="G551:H551" si="249">G552</f>
        <v>1524.8</v>
      </c>
      <c r="H551" s="59">
        <f t="shared" si="249"/>
        <v>0</v>
      </c>
      <c r="I551" s="190">
        <f t="shared" si="235"/>
        <v>100</v>
      </c>
    </row>
    <row r="552" spans="1:9" ht="25.5">
      <c r="A552" s="16" t="s">
        <v>556</v>
      </c>
      <c r="B552" s="20" t="s">
        <v>65</v>
      </c>
      <c r="C552" s="20" t="s">
        <v>65</v>
      </c>
      <c r="D552" s="102" t="str">
        <f>'пр.4 вед.стр.'!E546</f>
        <v xml:space="preserve">7В 0 01 92400 </v>
      </c>
      <c r="E552" s="97" t="str">
        <f>'пр.4 вед.стр.'!F671</f>
        <v>240</v>
      </c>
      <c r="F552" s="59">
        <f>'пр.4 вед.стр.'!G671</f>
        <v>1524.8</v>
      </c>
      <c r="G552" s="59">
        <f>'пр.4 вед.стр.'!H671</f>
        <v>1524.8</v>
      </c>
      <c r="H552" s="59">
        <f>'пр.4 вед.стр.'!I671</f>
        <v>0</v>
      </c>
      <c r="I552" s="190">
        <f t="shared" si="235"/>
        <v>100</v>
      </c>
    </row>
    <row r="553" spans="1:9" ht="25.5">
      <c r="A553" s="28" t="str">
        <f>'пр.4 вед.стр.'!A545</f>
        <v>Предоставление субсидий бюджетным, автономным учреждениям и иным некоммерческим организациям</v>
      </c>
      <c r="B553" s="20" t="s">
        <v>65</v>
      </c>
      <c r="C553" s="20" t="s">
        <v>65</v>
      </c>
      <c r="D553" s="102" t="str">
        <f>'пр.4 вед.стр.'!E545</f>
        <v xml:space="preserve">7В 0 01 92400 </v>
      </c>
      <c r="E553" s="97" t="str">
        <f>'пр.4 вед.стр.'!F545</f>
        <v>600</v>
      </c>
      <c r="F553" s="59">
        <f t="shared" si="247"/>
        <v>108.5</v>
      </c>
      <c r="G553" s="59">
        <f t="shared" si="247"/>
        <v>108.5</v>
      </c>
      <c r="H553" s="59">
        <f t="shared" si="247"/>
        <v>0</v>
      </c>
      <c r="I553" s="190">
        <f t="shared" si="235"/>
        <v>100</v>
      </c>
    </row>
    <row r="554" spans="1:9">
      <c r="A554" s="28" t="str">
        <f>'пр.4 вед.стр.'!A546</f>
        <v>Субсидии бюджетным учреждениям</v>
      </c>
      <c r="B554" s="20" t="s">
        <v>65</v>
      </c>
      <c r="C554" s="20" t="s">
        <v>65</v>
      </c>
      <c r="D554" s="102" t="str">
        <f>'пр.4 вед.стр.'!E546</f>
        <v xml:space="preserve">7В 0 01 92400 </v>
      </c>
      <c r="E554" s="97" t="str">
        <f>'пр.4 вед.стр.'!F546</f>
        <v>610</v>
      </c>
      <c r="F554" s="59">
        <f>'пр.4 вед.стр.'!G546</f>
        <v>108.5</v>
      </c>
      <c r="G554" s="59">
        <f>'пр.4 вед.стр.'!H546</f>
        <v>108.5</v>
      </c>
      <c r="H554" s="59">
        <f>'пр.4 вед.стр.'!I546</f>
        <v>0</v>
      </c>
      <c r="I554" s="190">
        <f t="shared" si="235"/>
        <v>100</v>
      </c>
    </row>
    <row r="555" spans="1:9">
      <c r="A555" s="28" t="str">
        <f>'пр.4 вед.стр.'!A547</f>
        <v>Муниципальная  программа "Одарённые дети  на 2018- 2022 годы"</v>
      </c>
      <c r="B555" s="20" t="s">
        <v>65</v>
      </c>
      <c r="C555" s="20" t="s">
        <v>65</v>
      </c>
      <c r="D555" s="102" t="str">
        <f>'пр.4 вед.стр.'!E547</f>
        <v xml:space="preserve">7Д 0 00 00000 </v>
      </c>
      <c r="E555" s="97"/>
      <c r="F555" s="59">
        <f>F556</f>
        <v>423.8</v>
      </c>
      <c r="G555" s="59">
        <f t="shared" ref="G555:H555" si="250">G556</f>
        <v>423.8</v>
      </c>
      <c r="H555" s="59">
        <f t="shared" si="250"/>
        <v>0</v>
      </c>
      <c r="I555" s="190">
        <f t="shared" si="235"/>
        <v>100</v>
      </c>
    </row>
    <row r="556" spans="1:9" ht="25.5">
      <c r="A556" s="28" t="str">
        <f>'пр.4 вед.стр.'!A548</f>
        <v>Основное мероприятие "Создание условий для выявления, поддержки и развития одаренных детей"</v>
      </c>
      <c r="B556" s="20" t="s">
        <v>65</v>
      </c>
      <c r="C556" s="20" t="s">
        <v>65</v>
      </c>
      <c r="D556" s="102" t="str">
        <f>'пр.4 вед.стр.'!E548</f>
        <v xml:space="preserve">7Д 0 01 00000 </v>
      </c>
      <c r="E556" s="97"/>
      <c r="F556" s="59">
        <f>F557+F562</f>
        <v>423.8</v>
      </c>
      <c r="G556" s="59">
        <f t="shared" ref="G556:H556" si="251">G557+G562</f>
        <v>423.8</v>
      </c>
      <c r="H556" s="59">
        <f t="shared" si="251"/>
        <v>0</v>
      </c>
      <c r="I556" s="190">
        <f t="shared" si="235"/>
        <v>100</v>
      </c>
    </row>
    <row r="557" spans="1:9">
      <c r="A557" s="28" t="str">
        <f>'пр.4 вед.стр.'!A549</f>
        <v xml:space="preserve">Осуществление поддержки одаренных детей </v>
      </c>
      <c r="B557" s="20" t="s">
        <v>65</v>
      </c>
      <c r="C557" s="20" t="s">
        <v>65</v>
      </c>
      <c r="D557" s="102" t="str">
        <f>'пр.4 вед.стр.'!E549</f>
        <v xml:space="preserve">7Д 0 01 92200 </v>
      </c>
      <c r="E557" s="97"/>
      <c r="F557" s="59">
        <f>F558+F560</f>
        <v>341.8</v>
      </c>
      <c r="G557" s="59">
        <f t="shared" ref="G557:H557" si="252">G558+G560</f>
        <v>341.8</v>
      </c>
      <c r="H557" s="59">
        <f t="shared" si="252"/>
        <v>0</v>
      </c>
      <c r="I557" s="190">
        <f t="shared" si="235"/>
        <v>100</v>
      </c>
    </row>
    <row r="558" spans="1:9" ht="25.5">
      <c r="A558" s="28" t="str">
        <f>'пр.4 вед.стр.'!A550</f>
        <v>Закупка товаров, работ и услуг для обеспечения государственных (муниципальных) нужд</v>
      </c>
      <c r="B558" s="20" t="s">
        <v>65</v>
      </c>
      <c r="C558" s="20" t="s">
        <v>65</v>
      </c>
      <c r="D558" s="102" t="str">
        <f>'пр.4 вед.стр.'!E550</f>
        <v xml:space="preserve">7Д 0 01 92200 </v>
      </c>
      <c r="E558" s="97" t="str">
        <f>'пр.4 вед.стр.'!F550</f>
        <v>200</v>
      </c>
      <c r="F558" s="59">
        <f>F559</f>
        <v>26.3</v>
      </c>
      <c r="G558" s="59">
        <f t="shared" ref="G558:H558" si="253">G559</f>
        <v>26.3</v>
      </c>
      <c r="H558" s="59">
        <f t="shared" si="253"/>
        <v>0</v>
      </c>
      <c r="I558" s="190">
        <f t="shared" si="235"/>
        <v>100</v>
      </c>
    </row>
    <row r="559" spans="1:9" ht="25.5">
      <c r="A559" s="16" t="s">
        <v>556</v>
      </c>
      <c r="B559" s="20" t="s">
        <v>65</v>
      </c>
      <c r="C559" s="20" t="s">
        <v>65</v>
      </c>
      <c r="D559" s="102" t="str">
        <f>'пр.4 вед.стр.'!E551</f>
        <v xml:space="preserve">7Д 0 01 92200 </v>
      </c>
      <c r="E559" s="97" t="str">
        <f>'пр.4 вед.стр.'!F551</f>
        <v>240</v>
      </c>
      <c r="F559" s="59">
        <f>'пр.4 вед.стр.'!G551</f>
        <v>26.3</v>
      </c>
      <c r="G559" s="59">
        <f>'пр.4 вед.стр.'!H551</f>
        <v>26.3</v>
      </c>
      <c r="H559" s="59">
        <f>'пр.4 вед.стр.'!I551</f>
        <v>0</v>
      </c>
      <c r="I559" s="190">
        <f t="shared" si="235"/>
        <v>100</v>
      </c>
    </row>
    <row r="560" spans="1:9">
      <c r="A560" s="28" t="str">
        <f>'пр.4 вед.стр.'!A552</f>
        <v>Социальное обеспечение и иные выплаты населению</v>
      </c>
      <c r="B560" s="20" t="s">
        <v>65</v>
      </c>
      <c r="C560" s="20" t="s">
        <v>65</v>
      </c>
      <c r="D560" s="102" t="str">
        <f>'пр.4 вед.стр.'!E552</f>
        <v xml:space="preserve">7Д 0 01 92200 </v>
      </c>
      <c r="E560" s="97" t="str">
        <f>'пр.4 вед.стр.'!F552</f>
        <v>300</v>
      </c>
      <c r="F560" s="59">
        <f>F561</f>
        <v>315.5</v>
      </c>
      <c r="G560" s="59">
        <f t="shared" ref="G560:H560" si="254">G561</f>
        <v>315.5</v>
      </c>
      <c r="H560" s="59">
        <f t="shared" si="254"/>
        <v>0</v>
      </c>
      <c r="I560" s="190">
        <f t="shared" si="235"/>
        <v>100</v>
      </c>
    </row>
    <row r="561" spans="1:9">
      <c r="A561" s="28" t="str">
        <f>'пр.4 вед.стр.'!A553</f>
        <v>Стипендии</v>
      </c>
      <c r="B561" s="20" t="s">
        <v>65</v>
      </c>
      <c r="C561" s="20" t="s">
        <v>65</v>
      </c>
      <c r="D561" s="102" t="str">
        <f>'пр.4 вед.стр.'!E553</f>
        <v xml:space="preserve">7Д 0 01 92200 </v>
      </c>
      <c r="E561" s="97" t="str">
        <f>'пр.4 вед.стр.'!F553</f>
        <v>340</v>
      </c>
      <c r="F561" s="59">
        <f>'пр.4 вед.стр.'!G553</f>
        <v>315.5</v>
      </c>
      <c r="G561" s="59">
        <f>'пр.4 вед.стр.'!H553</f>
        <v>315.5</v>
      </c>
      <c r="H561" s="59">
        <f>'пр.4 вед.стр.'!I553</f>
        <v>0</v>
      </c>
      <c r="I561" s="190">
        <f t="shared" si="235"/>
        <v>100</v>
      </c>
    </row>
    <row r="562" spans="1:9">
      <c r="A562" s="16" t="s">
        <v>303</v>
      </c>
      <c r="B562" s="20" t="s">
        <v>65</v>
      </c>
      <c r="C562" s="20" t="s">
        <v>65</v>
      </c>
      <c r="D562" s="102" t="s">
        <v>304</v>
      </c>
      <c r="E562" s="97"/>
      <c r="F562" s="59">
        <f>F563</f>
        <v>82</v>
      </c>
      <c r="G562" s="59">
        <f t="shared" ref="G562:H563" si="255">G563</f>
        <v>82</v>
      </c>
      <c r="H562" s="59">
        <f t="shared" si="255"/>
        <v>0</v>
      </c>
      <c r="I562" s="190">
        <f t="shared" si="235"/>
        <v>100</v>
      </c>
    </row>
    <row r="563" spans="1:9" ht="25.5">
      <c r="A563" s="16" t="s">
        <v>331</v>
      </c>
      <c r="B563" s="20" t="s">
        <v>65</v>
      </c>
      <c r="C563" s="20" t="s">
        <v>65</v>
      </c>
      <c r="D563" s="102" t="s">
        <v>304</v>
      </c>
      <c r="E563" s="97" t="str">
        <f>'пр.4 вед.стр.'!F555</f>
        <v>200</v>
      </c>
      <c r="F563" s="59">
        <f>F564</f>
        <v>82</v>
      </c>
      <c r="G563" s="59">
        <f t="shared" si="255"/>
        <v>82</v>
      </c>
      <c r="H563" s="59">
        <f t="shared" si="255"/>
        <v>0</v>
      </c>
      <c r="I563" s="190">
        <f t="shared" si="235"/>
        <v>100</v>
      </c>
    </row>
    <row r="564" spans="1:9" ht="25.5">
      <c r="A564" s="16" t="s">
        <v>556</v>
      </c>
      <c r="B564" s="20" t="s">
        <v>65</v>
      </c>
      <c r="C564" s="20" t="s">
        <v>65</v>
      </c>
      <c r="D564" s="102" t="s">
        <v>304</v>
      </c>
      <c r="E564" s="97" t="str">
        <f>'пр.4 вед.стр.'!F556</f>
        <v>240</v>
      </c>
      <c r="F564" s="59">
        <f>'пр.4 вед.стр.'!G556</f>
        <v>82</v>
      </c>
      <c r="G564" s="59">
        <f>'пр.4 вед.стр.'!H556</f>
        <v>82</v>
      </c>
      <c r="H564" s="59">
        <f>'пр.4 вед.стр.'!I556</f>
        <v>0</v>
      </c>
      <c r="I564" s="190">
        <f t="shared" si="235"/>
        <v>100</v>
      </c>
    </row>
    <row r="565" spans="1:9">
      <c r="A565" s="28" t="str">
        <f>'пр.4 вед.стр.'!A557</f>
        <v>Муниципальная программа "Лето-детям  на 2018- 2022 годы"</v>
      </c>
      <c r="B565" s="20" t="s">
        <v>65</v>
      </c>
      <c r="C565" s="20" t="s">
        <v>65</v>
      </c>
      <c r="D565" s="102" t="str">
        <f>'пр.4 вед.стр.'!E557</f>
        <v xml:space="preserve">7Л 0 00 00000 </v>
      </c>
      <c r="E565" s="97"/>
      <c r="F565" s="59">
        <f>F566+F573</f>
        <v>8875.1</v>
      </c>
      <c r="G565" s="59">
        <f t="shared" ref="G565:H565" si="256">G566+G573</f>
        <v>8448.7000000000007</v>
      </c>
      <c r="H565" s="59">
        <f t="shared" si="256"/>
        <v>426.40000000000032</v>
      </c>
      <c r="I565" s="190">
        <f t="shared" si="235"/>
        <v>95.195547092427134</v>
      </c>
    </row>
    <row r="566" spans="1:9" ht="25.5">
      <c r="A566" s="28" t="str">
        <f>'пр.4 вед.стр.'!A558</f>
        <v>Основное мероприятие "Организация и обеспечение отдыха и оздоровления детей и подростков"</v>
      </c>
      <c r="B566" s="20" t="s">
        <v>65</v>
      </c>
      <c r="C566" s="20" t="s">
        <v>65</v>
      </c>
      <c r="D566" s="102" t="str">
        <f>'пр.4 вед.стр.'!E558</f>
        <v xml:space="preserve">7Л 0 01 00000 </v>
      </c>
      <c r="E566" s="97"/>
      <c r="F566" s="59">
        <f>F567+F570</f>
        <v>7800.9000000000005</v>
      </c>
      <c r="G566" s="59">
        <f t="shared" ref="G566:H566" si="257">G567+G570</f>
        <v>7374.6</v>
      </c>
      <c r="H566" s="59">
        <f t="shared" si="257"/>
        <v>426.30000000000018</v>
      </c>
      <c r="I566" s="190">
        <f t="shared" si="235"/>
        <v>94.535245933161562</v>
      </c>
    </row>
    <row r="567" spans="1:9" ht="25.5">
      <c r="A567" s="16" t="str">
        <f>'пр.4 вед.стр.'!A559</f>
        <v xml:space="preserve">Организация отдыха и оздоровления детей в лагерях дневного пребывания </v>
      </c>
      <c r="B567" s="20" t="s">
        <v>65</v>
      </c>
      <c r="C567" s="20" t="s">
        <v>65</v>
      </c>
      <c r="D567" s="102" t="str">
        <f>'пр.4 вед.стр.'!E559</f>
        <v xml:space="preserve">7Л 0 01 73210 </v>
      </c>
      <c r="E567" s="97"/>
      <c r="F567" s="59">
        <f>F568</f>
        <v>4364.6000000000004</v>
      </c>
      <c r="G567" s="59">
        <f t="shared" ref="G567:H568" si="258">G568</f>
        <v>3972.3</v>
      </c>
      <c r="H567" s="59">
        <f t="shared" si="258"/>
        <v>392.30000000000018</v>
      </c>
      <c r="I567" s="190">
        <f t="shared" si="235"/>
        <v>91.011776566008336</v>
      </c>
    </row>
    <row r="568" spans="1:9" ht="25.5">
      <c r="A568" s="16" t="str">
        <f>'пр.4 вед.стр.'!A560</f>
        <v>Предоставление субсидий бюджетным, автономным учреждениям и иным некоммерческим организациям</v>
      </c>
      <c r="B568" s="20" t="s">
        <v>65</v>
      </c>
      <c r="C568" s="20" t="s">
        <v>65</v>
      </c>
      <c r="D568" s="102" t="str">
        <f>'пр.4 вед.стр.'!E560</f>
        <v xml:space="preserve">7Л 0 01 73210 </v>
      </c>
      <c r="E568" s="97" t="str">
        <f>'пр.4 вед.стр.'!F560</f>
        <v>600</v>
      </c>
      <c r="F568" s="59">
        <f>F569</f>
        <v>4364.6000000000004</v>
      </c>
      <c r="G568" s="59">
        <f t="shared" si="258"/>
        <v>3972.3</v>
      </c>
      <c r="H568" s="59">
        <f t="shared" si="258"/>
        <v>392.30000000000018</v>
      </c>
      <c r="I568" s="190">
        <f t="shared" si="235"/>
        <v>91.011776566008336</v>
      </c>
    </row>
    <row r="569" spans="1:9">
      <c r="A569" s="16" t="str">
        <f>'пр.4 вед.стр.'!A561</f>
        <v>Субсидии бюджетным учреждениям</v>
      </c>
      <c r="B569" s="20" t="s">
        <v>65</v>
      </c>
      <c r="C569" s="20" t="s">
        <v>65</v>
      </c>
      <c r="D569" s="102" t="str">
        <f>'пр.4 вед.стр.'!E561</f>
        <v xml:space="preserve">7Л 0 01 73210 </v>
      </c>
      <c r="E569" s="97" t="str">
        <f>'пр.4 вед.стр.'!F561</f>
        <v>610</v>
      </c>
      <c r="F569" s="59">
        <f>'пр.4 вед.стр.'!G561</f>
        <v>4364.6000000000004</v>
      </c>
      <c r="G569" s="59">
        <f>'пр.4 вед.стр.'!H561</f>
        <v>3972.3</v>
      </c>
      <c r="H569" s="59">
        <f>'пр.4 вед.стр.'!I561</f>
        <v>392.30000000000018</v>
      </c>
      <c r="I569" s="190">
        <f t="shared" si="235"/>
        <v>91.011776566008336</v>
      </c>
    </row>
    <row r="570" spans="1:9" ht="25.5">
      <c r="A570" s="16" t="str">
        <f>'пр.4 вед.стр.'!A562</f>
        <v>Организация отдыха и оздоровления детей в лагерях дневного пребывания  за счет средств местного бюджета</v>
      </c>
      <c r="B570" s="20" t="s">
        <v>65</v>
      </c>
      <c r="C570" s="20" t="s">
        <v>65</v>
      </c>
      <c r="D570" s="102" t="str">
        <f>'пр.4 вед.стр.'!E562</f>
        <v xml:space="preserve">7Л 0 01 S3210 </v>
      </c>
      <c r="E570" s="97"/>
      <c r="F570" s="59">
        <f>F571</f>
        <v>3436.3</v>
      </c>
      <c r="G570" s="59">
        <f t="shared" ref="G570:H571" si="259">G571</f>
        <v>3402.3</v>
      </c>
      <c r="H570" s="59">
        <f t="shared" si="259"/>
        <v>34</v>
      </c>
      <c r="I570" s="190">
        <f t="shared" si="235"/>
        <v>99.010563687687338</v>
      </c>
    </row>
    <row r="571" spans="1:9" ht="25.5">
      <c r="A571" s="16" t="str">
        <f>'пр.4 вед.стр.'!A563</f>
        <v>Предоставление субсидий бюджетным, автономным учреждениям и иным некоммерческим организациям</v>
      </c>
      <c r="B571" s="20" t="s">
        <v>65</v>
      </c>
      <c r="C571" s="20" t="s">
        <v>65</v>
      </c>
      <c r="D571" s="102" t="str">
        <f>'пр.4 вед.стр.'!E563</f>
        <v xml:space="preserve">7Л 0 01 S3210 </v>
      </c>
      <c r="E571" s="97" t="str">
        <f>'пр.4 вед.стр.'!F563</f>
        <v>600</v>
      </c>
      <c r="F571" s="59">
        <f>F572</f>
        <v>3436.3</v>
      </c>
      <c r="G571" s="59">
        <f t="shared" si="259"/>
        <v>3402.3</v>
      </c>
      <c r="H571" s="59">
        <f t="shared" si="259"/>
        <v>34</v>
      </c>
      <c r="I571" s="190">
        <f t="shared" si="235"/>
        <v>99.010563687687338</v>
      </c>
    </row>
    <row r="572" spans="1:9">
      <c r="A572" s="16" t="str">
        <f>'пр.4 вед.стр.'!A564</f>
        <v>Субсидии бюджетным учреждениям</v>
      </c>
      <c r="B572" s="20" t="s">
        <v>65</v>
      </c>
      <c r="C572" s="20" t="s">
        <v>65</v>
      </c>
      <c r="D572" s="102" t="str">
        <f>'пр.4 вед.стр.'!E564</f>
        <v xml:space="preserve">7Л 0 01 S3210 </v>
      </c>
      <c r="E572" s="97" t="str">
        <f>'пр.4 вед.стр.'!F564</f>
        <v>610</v>
      </c>
      <c r="F572" s="59">
        <f>'пр.4 вед.стр.'!G564</f>
        <v>3436.3</v>
      </c>
      <c r="G572" s="59">
        <f>'пр.4 вед.стр.'!H564</f>
        <v>3402.3</v>
      </c>
      <c r="H572" s="59">
        <f>'пр.4 вед.стр.'!I564</f>
        <v>34</v>
      </c>
      <c r="I572" s="190">
        <f t="shared" si="235"/>
        <v>99.010563687687338</v>
      </c>
    </row>
    <row r="573" spans="1:9" ht="25.5">
      <c r="A573" s="16" t="str">
        <f>'пр.4 вед.стр.'!A565</f>
        <v>Основное мероприятие "Создание временных дополнительных рабочих мест для трудоустройства несовершеннолетних в летний период"</v>
      </c>
      <c r="B573" s="20" t="s">
        <v>65</v>
      </c>
      <c r="C573" s="20" t="s">
        <v>65</v>
      </c>
      <c r="D573" s="102" t="str">
        <f>'пр.4 вед.стр.'!E565</f>
        <v xml:space="preserve">7Л 0 02 00000 </v>
      </c>
      <c r="E573" s="97"/>
      <c r="F573" s="59">
        <f>F574</f>
        <v>1074.2</v>
      </c>
      <c r="G573" s="59">
        <f t="shared" ref="G573:H575" si="260">G574</f>
        <v>1074.0999999999999</v>
      </c>
      <c r="H573" s="59">
        <f t="shared" si="260"/>
        <v>0.10000000000013642</v>
      </c>
      <c r="I573" s="190">
        <f t="shared" si="235"/>
        <v>99.990690746602112</v>
      </c>
    </row>
    <row r="574" spans="1:9">
      <c r="A574" s="16" t="str">
        <f>'пр.4 вед.стр.'!A566</f>
        <v>Расходы на выплаты по оплате труда несовершеннолетних граждан</v>
      </c>
      <c r="B574" s="20" t="s">
        <v>65</v>
      </c>
      <c r="C574" s="20" t="s">
        <v>65</v>
      </c>
      <c r="D574" s="102" t="str">
        <f>'пр.4 вед.стр.'!E566</f>
        <v xml:space="preserve">7Л 0 02 92300 </v>
      </c>
      <c r="E574" s="97"/>
      <c r="F574" s="59">
        <f>F575</f>
        <v>1074.2</v>
      </c>
      <c r="G574" s="59">
        <f t="shared" si="260"/>
        <v>1074.0999999999999</v>
      </c>
      <c r="H574" s="59">
        <f t="shared" si="260"/>
        <v>0.10000000000013642</v>
      </c>
      <c r="I574" s="190">
        <f t="shared" si="235"/>
        <v>99.990690746602112</v>
      </c>
    </row>
    <row r="575" spans="1:9" ht="25.5">
      <c r="A575" s="16" t="str">
        <f>'пр.4 вед.стр.'!A567</f>
        <v>Предоставление субсидий бюджетным, автономным учреждениям и иным некоммерческим организациям</v>
      </c>
      <c r="B575" s="20" t="s">
        <v>65</v>
      </c>
      <c r="C575" s="20" t="s">
        <v>65</v>
      </c>
      <c r="D575" s="102" t="str">
        <f>'пр.4 вед.стр.'!E567</f>
        <v xml:space="preserve">7Л 0 02 92300 </v>
      </c>
      <c r="E575" s="97" t="str">
        <f>'пр.4 вед.стр.'!F567</f>
        <v>600</v>
      </c>
      <c r="F575" s="59">
        <f>F576</f>
        <v>1074.2</v>
      </c>
      <c r="G575" s="59">
        <f t="shared" si="260"/>
        <v>1074.0999999999999</v>
      </c>
      <c r="H575" s="59">
        <f t="shared" si="260"/>
        <v>0.10000000000013642</v>
      </c>
      <c r="I575" s="190">
        <f t="shared" si="235"/>
        <v>99.990690746602112</v>
      </c>
    </row>
    <row r="576" spans="1:9">
      <c r="A576" s="16" t="str">
        <f>'пр.4 вед.стр.'!A568</f>
        <v>Субсидии бюджетным учреждениям</v>
      </c>
      <c r="B576" s="20" t="s">
        <v>65</v>
      </c>
      <c r="C576" s="20" t="s">
        <v>65</v>
      </c>
      <c r="D576" s="102" t="str">
        <f>'пр.4 вед.стр.'!E568</f>
        <v xml:space="preserve">7Л 0 02 92300 </v>
      </c>
      <c r="E576" s="97" t="str">
        <f>'пр.4 вед.стр.'!F568</f>
        <v>610</v>
      </c>
      <c r="F576" s="59">
        <f>'пр.4 вед.стр.'!G568</f>
        <v>1074.2</v>
      </c>
      <c r="G576" s="59">
        <f>'пр.4 вед.стр.'!H568</f>
        <v>1074.0999999999999</v>
      </c>
      <c r="H576" s="59">
        <f>'пр.4 вед.стр.'!I568</f>
        <v>0.10000000000013642</v>
      </c>
      <c r="I576" s="190">
        <f t="shared" si="235"/>
        <v>99.990690746602112</v>
      </c>
    </row>
    <row r="577" spans="1:9" ht="25.5">
      <c r="A577" s="28" t="str">
        <f>'пр.4 вед.стр.'!A672</f>
        <v>Муниципальная программа  "Развитие молодежной политики в Сусуманском городском округе  на 2018-2022 годы"</v>
      </c>
      <c r="B577" s="20" t="s">
        <v>65</v>
      </c>
      <c r="C577" s="20" t="s">
        <v>65</v>
      </c>
      <c r="D577" s="102" t="str">
        <f>'пр.4 вед.стр.'!E672</f>
        <v xml:space="preserve">7М 0 00 00000 </v>
      </c>
      <c r="E577" s="97"/>
      <c r="F577" s="59">
        <f>F578+F582</f>
        <v>300</v>
      </c>
      <c r="G577" s="59">
        <f t="shared" ref="G577:H577" si="261">G578+G582</f>
        <v>300</v>
      </c>
      <c r="H577" s="59">
        <f t="shared" si="261"/>
        <v>0</v>
      </c>
      <c r="I577" s="190">
        <f t="shared" si="235"/>
        <v>100</v>
      </c>
    </row>
    <row r="578" spans="1:9">
      <c r="A578" s="28" t="str">
        <f>'пр.4 вед.стр.'!A673</f>
        <v>Основное мероприятие "Организационная работа"</v>
      </c>
      <c r="B578" s="20" t="s">
        <v>65</v>
      </c>
      <c r="C578" s="20" t="s">
        <v>65</v>
      </c>
      <c r="D578" s="102" t="str">
        <f>'пр.4 вед.стр.'!E673</f>
        <v xml:space="preserve">7М 0 01 00000 </v>
      </c>
      <c r="E578" s="97"/>
      <c r="F578" s="59">
        <f>F579</f>
        <v>50</v>
      </c>
      <c r="G578" s="59">
        <f t="shared" ref="G578:H580" si="262">G579</f>
        <v>50</v>
      </c>
      <c r="H578" s="59">
        <f t="shared" si="262"/>
        <v>0</v>
      </c>
      <c r="I578" s="190">
        <f t="shared" si="235"/>
        <v>100</v>
      </c>
    </row>
    <row r="579" spans="1:9" ht="25.5">
      <c r="A579" s="28" t="str">
        <f>'пр.4 вед.стр.'!A674</f>
        <v>Материально- техническое и методологическое обеспечение в сфере молодежной политики</v>
      </c>
      <c r="B579" s="20" t="s">
        <v>65</v>
      </c>
      <c r="C579" s="20" t="s">
        <v>65</v>
      </c>
      <c r="D579" s="102" t="str">
        <f>'пр.4 вед.стр.'!E674</f>
        <v xml:space="preserve">7М 0 01 92530 </v>
      </c>
      <c r="E579" s="97"/>
      <c r="F579" s="59">
        <f>F580</f>
        <v>50</v>
      </c>
      <c r="G579" s="59">
        <f t="shared" si="262"/>
        <v>50</v>
      </c>
      <c r="H579" s="59">
        <f t="shared" si="262"/>
        <v>0</v>
      </c>
      <c r="I579" s="190">
        <f t="shared" si="235"/>
        <v>100</v>
      </c>
    </row>
    <row r="580" spans="1:9" ht="25.5">
      <c r="A580" s="28" t="str">
        <f>'пр.4 вед.стр.'!A675</f>
        <v>Закупка товаров, работ и услуг для обеспечения государственных (муниципальных) нужд</v>
      </c>
      <c r="B580" s="20" t="s">
        <v>65</v>
      </c>
      <c r="C580" s="20" t="s">
        <v>65</v>
      </c>
      <c r="D580" s="102" t="str">
        <f>'пр.4 вед.стр.'!E675</f>
        <v xml:space="preserve">7М 0 01 92530 </v>
      </c>
      <c r="E580" s="97" t="str">
        <f>'пр.4 вед.стр.'!F675</f>
        <v>200</v>
      </c>
      <c r="F580" s="59">
        <f>F581</f>
        <v>50</v>
      </c>
      <c r="G580" s="59">
        <f t="shared" si="262"/>
        <v>50</v>
      </c>
      <c r="H580" s="59">
        <f t="shared" si="262"/>
        <v>0</v>
      </c>
      <c r="I580" s="190">
        <f t="shared" si="235"/>
        <v>100</v>
      </c>
    </row>
    <row r="581" spans="1:9" ht="25.5">
      <c r="A581" s="16" t="s">
        <v>556</v>
      </c>
      <c r="B581" s="20" t="s">
        <v>65</v>
      </c>
      <c r="C581" s="20" t="s">
        <v>65</v>
      </c>
      <c r="D581" s="102" t="str">
        <f>'пр.4 вед.стр.'!E676</f>
        <v xml:space="preserve">7М 0 01 92530 </v>
      </c>
      <c r="E581" s="97" t="str">
        <f>'пр.4 вед.стр.'!F676</f>
        <v>240</v>
      </c>
      <c r="F581" s="59">
        <f>'пр.4 вед.стр.'!G676</f>
        <v>50</v>
      </c>
      <c r="G581" s="59">
        <f>'пр.4 вед.стр.'!H676</f>
        <v>50</v>
      </c>
      <c r="H581" s="59">
        <f>'пр.4 вед.стр.'!I676</f>
        <v>0</v>
      </c>
      <c r="I581" s="190">
        <f t="shared" si="235"/>
        <v>100</v>
      </c>
    </row>
    <row r="582" spans="1:9">
      <c r="A582" s="28" t="str">
        <f>'пр.4 вед.стр.'!A677</f>
        <v>Основное мероприятие "Культурно- массовая работа"</v>
      </c>
      <c r="B582" s="20" t="s">
        <v>65</v>
      </c>
      <c r="C582" s="20" t="s">
        <v>65</v>
      </c>
      <c r="D582" s="102" t="str">
        <f>'пр.4 вед.стр.'!E677</f>
        <v xml:space="preserve">7М 0 02 00000 </v>
      </c>
      <c r="E582" s="97"/>
      <c r="F582" s="59">
        <f>F583+F586+F589+F592</f>
        <v>250</v>
      </c>
      <c r="G582" s="59">
        <f t="shared" ref="G582:H582" si="263">G583+G586+G589+G592</f>
        <v>250</v>
      </c>
      <c r="H582" s="59">
        <f t="shared" si="263"/>
        <v>0</v>
      </c>
      <c r="I582" s="190">
        <f t="shared" si="235"/>
        <v>100</v>
      </c>
    </row>
    <row r="583" spans="1:9">
      <c r="A583" s="28" t="str">
        <f>'пр.4 вед.стр.'!A678</f>
        <v>Мероприятия, проводимые с участием молодежи</v>
      </c>
      <c r="B583" s="20" t="s">
        <v>65</v>
      </c>
      <c r="C583" s="20" t="s">
        <v>65</v>
      </c>
      <c r="D583" s="102" t="str">
        <f>'пр.4 вед.стр.'!E678</f>
        <v xml:space="preserve">7М 0 02 92600 </v>
      </c>
      <c r="E583" s="97"/>
      <c r="F583" s="59">
        <f>F584</f>
        <v>95</v>
      </c>
      <c r="G583" s="59">
        <f t="shared" ref="G583:H584" si="264">G584</f>
        <v>95</v>
      </c>
      <c r="H583" s="59">
        <f t="shared" si="264"/>
        <v>0</v>
      </c>
      <c r="I583" s="190">
        <f t="shared" si="235"/>
        <v>100</v>
      </c>
    </row>
    <row r="584" spans="1:9" ht="25.5">
      <c r="A584" s="28" t="str">
        <f>'пр.4 вед.стр.'!A679</f>
        <v>Закупка товаров, работ и услуг для обеспечения государственных (муниципальных) нужд</v>
      </c>
      <c r="B584" s="20" t="s">
        <v>65</v>
      </c>
      <c r="C584" s="20" t="s">
        <v>65</v>
      </c>
      <c r="D584" s="102" t="str">
        <f>'пр.4 вед.стр.'!E679</f>
        <v xml:space="preserve">7М 0 02 92600 </v>
      </c>
      <c r="E584" s="97" t="str">
        <f>'пр.4 вед.стр.'!F679</f>
        <v>200</v>
      </c>
      <c r="F584" s="59">
        <f>F585</f>
        <v>95</v>
      </c>
      <c r="G584" s="59">
        <f t="shared" si="264"/>
        <v>95</v>
      </c>
      <c r="H584" s="59">
        <f t="shared" si="264"/>
        <v>0</v>
      </c>
      <c r="I584" s="190">
        <f t="shared" si="235"/>
        <v>100</v>
      </c>
    </row>
    <row r="585" spans="1:9" ht="25.5">
      <c r="A585" s="16" t="s">
        <v>556</v>
      </c>
      <c r="B585" s="20" t="s">
        <v>65</v>
      </c>
      <c r="C585" s="20" t="s">
        <v>65</v>
      </c>
      <c r="D585" s="102" t="str">
        <f>'пр.4 вед.стр.'!E680</f>
        <v xml:space="preserve">7М 0 02 92600 </v>
      </c>
      <c r="E585" s="97" t="str">
        <f>'пр.4 вед.стр.'!F680</f>
        <v>240</v>
      </c>
      <c r="F585" s="59">
        <f>'пр.4 вед.стр.'!G680</f>
        <v>95</v>
      </c>
      <c r="G585" s="59">
        <f>'пр.4 вед.стр.'!H680</f>
        <v>95</v>
      </c>
      <c r="H585" s="59">
        <f>'пр.4 вед.стр.'!I680</f>
        <v>0</v>
      </c>
      <c r="I585" s="190">
        <f t="shared" si="235"/>
        <v>100</v>
      </c>
    </row>
    <row r="586" spans="1:9" ht="25.5">
      <c r="A586" s="28" t="str">
        <f>'пр.4 вед.стр.'!A681</f>
        <v>Участие в областных и районных мероприятиях, семинарах, сборах, конкурсах</v>
      </c>
      <c r="B586" s="20" t="s">
        <v>65</v>
      </c>
      <c r="C586" s="20" t="s">
        <v>65</v>
      </c>
      <c r="D586" s="102" t="str">
        <f>'пр.4 вед.стр.'!E681</f>
        <v xml:space="preserve">7М 0 02 92700 </v>
      </c>
      <c r="E586" s="97"/>
      <c r="F586" s="59">
        <f>F587</f>
        <v>100</v>
      </c>
      <c r="G586" s="59">
        <f t="shared" ref="G586:H587" si="265">G587</f>
        <v>100</v>
      </c>
      <c r="H586" s="59">
        <f t="shared" si="265"/>
        <v>0</v>
      </c>
      <c r="I586" s="190">
        <f t="shared" ref="I586:I649" si="266">G586/F586*100</f>
        <v>100</v>
      </c>
    </row>
    <row r="587" spans="1:9" ht="51">
      <c r="A587" s="28" t="str">
        <f>'пр.4 вед.стр.'!A682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7" s="20" t="s">
        <v>65</v>
      </c>
      <c r="C587" s="20" t="s">
        <v>65</v>
      </c>
      <c r="D587" s="102" t="str">
        <f>'пр.4 вед.стр.'!E682</f>
        <v xml:space="preserve">7М 0 02 92700 </v>
      </c>
      <c r="E587" s="97" t="str">
        <f>'пр.4 вед.стр.'!F682</f>
        <v>100</v>
      </c>
      <c r="F587" s="59">
        <f>F588</f>
        <v>100</v>
      </c>
      <c r="G587" s="59">
        <f t="shared" si="265"/>
        <v>100</v>
      </c>
      <c r="H587" s="59">
        <f t="shared" si="265"/>
        <v>0</v>
      </c>
      <c r="I587" s="190">
        <f t="shared" si="266"/>
        <v>100</v>
      </c>
    </row>
    <row r="588" spans="1:9">
      <c r="A588" s="28" t="str">
        <f>'пр.4 вед.стр.'!A683</f>
        <v>Расходы на выплаты персоналу казенных учреждений</v>
      </c>
      <c r="B588" s="20" t="s">
        <v>65</v>
      </c>
      <c r="C588" s="20" t="s">
        <v>65</v>
      </c>
      <c r="D588" s="102" t="str">
        <f>'пр.4 вед.стр.'!E683</f>
        <v xml:space="preserve">7М 0 02 92700 </v>
      </c>
      <c r="E588" s="97" t="str">
        <f>'пр.4 вед.стр.'!F683</f>
        <v>110</v>
      </c>
      <c r="F588" s="59">
        <f>'пр.4 вед.стр.'!G683</f>
        <v>100</v>
      </c>
      <c r="G588" s="59">
        <f>'пр.4 вед.стр.'!H683</f>
        <v>100</v>
      </c>
      <c r="H588" s="59">
        <f>'пр.4 вед.стр.'!I683</f>
        <v>0</v>
      </c>
      <c r="I588" s="190">
        <f t="shared" si="266"/>
        <v>100</v>
      </c>
    </row>
    <row r="589" spans="1:9">
      <c r="A589" s="28" t="str">
        <f>'пр.4 вед.стр.'!A684</f>
        <v>Работа с молодыми семьями</v>
      </c>
      <c r="B589" s="20" t="s">
        <v>65</v>
      </c>
      <c r="C589" s="20" t="s">
        <v>65</v>
      </c>
      <c r="D589" s="102" t="str">
        <f>'пр.4 вед.стр.'!E684</f>
        <v>7М 0 02 92800</v>
      </c>
      <c r="E589" s="97"/>
      <c r="F589" s="59">
        <f>F590</f>
        <v>35</v>
      </c>
      <c r="G589" s="59">
        <f t="shared" ref="G589:H590" si="267">G590</f>
        <v>35</v>
      </c>
      <c r="H589" s="59">
        <f t="shared" si="267"/>
        <v>0</v>
      </c>
      <c r="I589" s="190">
        <f t="shared" si="266"/>
        <v>100</v>
      </c>
    </row>
    <row r="590" spans="1:9" ht="25.5">
      <c r="A590" s="28" t="str">
        <f>'пр.4 вед.стр.'!A685</f>
        <v>Закупка товаров, работ и услуг для обеспечения государственных (муниципальных) нужд</v>
      </c>
      <c r="B590" s="20" t="s">
        <v>65</v>
      </c>
      <c r="C590" s="20" t="s">
        <v>65</v>
      </c>
      <c r="D590" s="102" t="str">
        <f>'пр.4 вед.стр.'!E685</f>
        <v>7М 0 02 92800</v>
      </c>
      <c r="E590" s="97" t="str">
        <f>'пр.4 вед.стр.'!F685</f>
        <v>200</v>
      </c>
      <c r="F590" s="59">
        <f>F591</f>
        <v>35</v>
      </c>
      <c r="G590" s="59">
        <f t="shared" si="267"/>
        <v>35</v>
      </c>
      <c r="H590" s="59">
        <f t="shared" si="267"/>
        <v>0</v>
      </c>
      <c r="I590" s="190">
        <f t="shared" si="266"/>
        <v>100</v>
      </c>
    </row>
    <row r="591" spans="1:9" ht="25.5">
      <c r="A591" s="16" t="s">
        <v>556</v>
      </c>
      <c r="B591" s="20" t="s">
        <v>65</v>
      </c>
      <c r="C591" s="20" t="s">
        <v>65</v>
      </c>
      <c r="D591" s="102" t="str">
        <f>'пр.4 вед.стр.'!E686</f>
        <v>7М 0 02 92800</v>
      </c>
      <c r="E591" s="97" t="str">
        <f>'пр.4 вед.стр.'!F686</f>
        <v>240</v>
      </c>
      <c r="F591" s="59">
        <f>'пр.4 вед.стр.'!G686</f>
        <v>35</v>
      </c>
      <c r="G591" s="59">
        <f>'пр.4 вед.стр.'!H686</f>
        <v>35</v>
      </c>
      <c r="H591" s="59">
        <f>'пр.4 вед.стр.'!I686</f>
        <v>0</v>
      </c>
      <c r="I591" s="190">
        <f t="shared" si="266"/>
        <v>100</v>
      </c>
    </row>
    <row r="592" spans="1:9" ht="25.5">
      <c r="A592" s="28" t="str">
        <f>'пр.4 вед.стр.'!A687</f>
        <v>Работа по пропаганде здорового образа жизни и профилактике правонарушений</v>
      </c>
      <c r="B592" s="20" t="s">
        <v>65</v>
      </c>
      <c r="C592" s="20" t="s">
        <v>65</v>
      </c>
      <c r="D592" s="102" t="str">
        <f>'пр.4 вед.стр.'!E687</f>
        <v>7М 0 02 93000</v>
      </c>
      <c r="E592" s="97"/>
      <c r="F592" s="59">
        <f>F593</f>
        <v>20</v>
      </c>
      <c r="G592" s="59">
        <f t="shared" ref="G592:H593" si="268">G593</f>
        <v>20</v>
      </c>
      <c r="H592" s="59">
        <f t="shared" si="268"/>
        <v>0</v>
      </c>
      <c r="I592" s="190">
        <f t="shared" si="266"/>
        <v>100</v>
      </c>
    </row>
    <row r="593" spans="1:14" ht="25.5">
      <c r="A593" s="28" t="str">
        <f>'пр.4 вед.стр.'!A688</f>
        <v>Закупка товаров, работ и услуг для обеспечения государственных (муниципальных) нужд</v>
      </c>
      <c r="B593" s="20" t="s">
        <v>65</v>
      </c>
      <c r="C593" s="20" t="s">
        <v>65</v>
      </c>
      <c r="D593" s="102" t="str">
        <f>'пр.4 вед.стр.'!E688</f>
        <v>7М 0 02 93000</v>
      </c>
      <c r="E593" s="97" t="str">
        <f>'пр.4 вед.стр.'!F688</f>
        <v>200</v>
      </c>
      <c r="F593" s="59">
        <f>F594</f>
        <v>20</v>
      </c>
      <c r="G593" s="59">
        <f t="shared" si="268"/>
        <v>20</v>
      </c>
      <c r="H593" s="59">
        <f t="shared" si="268"/>
        <v>0</v>
      </c>
      <c r="I593" s="190">
        <f t="shared" si="266"/>
        <v>100</v>
      </c>
    </row>
    <row r="594" spans="1:14" ht="25.5">
      <c r="A594" s="16" t="s">
        <v>556</v>
      </c>
      <c r="B594" s="20" t="s">
        <v>65</v>
      </c>
      <c r="C594" s="20" t="s">
        <v>65</v>
      </c>
      <c r="D594" s="102" t="str">
        <f>'пр.4 вед.стр.'!E689</f>
        <v>7М 0 02 93000</v>
      </c>
      <c r="E594" s="97" t="str">
        <f>'пр.4 вед.стр.'!F689</f>
        <v>240</v>
      </c>
      <c r="F594" s="59">
        <f>'пр.4 вед.стр.'!G689</f>
        <v>20</v>
      </c>
      <c r="G594" s="59">
        <f>'пр.4 вед.стр.'!H689</f>
        <v>20</v>
      </c>
      <c r="H594" s="59">
        <f>'пр.4 вед.стр.'!I689</f>
        <v>0</v>
      </c>
      <c r="I594" s="190">
        <f t="shared" si="266"/>
        <v>100</v>
      </c>
    </row>
    <row r="595" spans="1:14" ht="38.25">
      <c r="A595" s="28" t="str">
        <f>'пр.4 вед.стр.'!A569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595" s="20" t="s">
        <v>65</v>
      </c>
      <c r="C595" s="20" t="s">
        <v>65</v>
      </c>
      <c r="D595" s="102" t="str">
        <f>'пр.4 вед.стр.'!E569</f>
        <v xml:space="preserve">7Т 0 00 00000 </v>
      </c>
      <c r="E595" s="97"/>
      <c r="F595" s="59">
        <f>F596</f>
        <v>170.3</v>
      </c>
      <c r="G595" s="59">
        <f t="shared" ref="G595:H598" si="269">G596</f>
        <v>170.3</v>
      </c>
      <c r="H595" s="59">
        <f t="shared" si="269"/>
        <v>0</v>
      </c>
      <c r="I595" s="190">
        <f t="shared" si="266"/>
        <v>100</v>
      </c>
    </row>
    <row r="596" spans="1:14" ht="25.5">
      <c r="A596" s="16" t="str">
        <f>'пр.4 вед.стр.'!A570</f>
        <v>Основное мероприятие "Профилактика  правонарушений среди несовершеннолетних и молодежи"</v>
      </c>
      <c r="B596" s="20" t="s">
        <v>65</v>
      </c>
      <c r="C596" s="20" t="s">
        <v>65</v>
      </c>
      <c r="D596" s="102" t="str">
        <f>'пр.4 вед.стр.'!E570</f>
        <v xml:space="preserve">7Т 0 07 00000 </v>
      </c>
      <c r="E596" s="97"/>
      <c r="F596" s="59">
        <f>F597</f>
        <v>170.3</v>
      </c>
      <c r="G596" s="59">
        <f t="shared" si="269"/>
        <v>170.3</v>
      </c>
      <c r="H596" s="59">
        <f t="shared" si="269"/>
        <v>0</v>
      </c>
      <c r="I596" s="190">
        <f t="shared" si="266"/>
        <v>100</v>
      </c>
    </row>
    <row r="597" spans="1:14" ht="25.5">
      <c r="A597" s="16" t="str">
        <f>'пр.4 вед.стр.'!A571</f>
        <v>Профилактика безнадзорности, правонарушений и вредных привычек несовершеннолетних</v>
      </c>
      <c r="B597" s="20" t="s">
        <v>65</v>
      </c>
      <c r="C597" s="20" t="s">
        <v>65</v>
      </c>
      <c r="D597" s="102" t="str">
        <f>'пр.4 вед.стр.'!E571</f>
        <v xml:space="preserve">7Т 0 07 93810 </v>
      </c>
      <c r="E597" s="97"/>
      <c r="F597" s="59">
        <f>F598</f>
        <v>170.3</v>
      </c>
      <c r="G597" s="59">
        <f t="shared" si="269"/>
        <v>170.3</v>
      </c>
      <c r="H597" s="59">
        <f t="shared" si="269"/>
        <v>0</v>
      </c>
      <c r="I597" s="190">
        <f t="shared" si="266"/>
        <v>100</v>
      </c>
    </row>
    <row r="598" spans="1:14" ht="25.5">
      <c r="A598" s="16" t="str">
        <f>'пр.4 вед.стр.'!A572</f>
        <v>Предоставление субсидий бюджетным, автономным учреждениям и иным некоммерческим организациям</v>
      </c>
      <c r="B598" s="20" t="s">
        <v>65</v>
      </c>
      <c r="C598" s="20" t="s">
        <v>65</v>
      </c>
      <c r="D598" s="102" t="str">
        <f>'пр.4 вед.стр.'!E572</f>
        <v xml:space="preserve">7Т 0 07 93810 </v>
      </c>
      <c r="E598" s="97" t="str">
        <f>'пр.4 вед.стр.'!F572</f>
        <v>600</v>
      </c>
      <c r="F598" s="59">
        <f>F599</f>
        <v>170.3</v>
      </c>
      <c r="G598" s="59">
        <f t="shared" si="269"/>
        <v>170.3</v>
      </c>
      <c r="H598" s="59">
        <f t="shared" si="269"/>
        <v>0</v>
      </c>
      <c r="I598" s="190">
        <f t="shared" si="266"/>
        <v>100</v>
      </c>
    </row>
    <row r="599" spans="1:14">
      <c r="A599" s="16" t="str">
        <f>'пр.4 вед.стр.'!A573</f>
        <v>Субсидии бюджетным учреждениям</v>
      </c>
      <c r="B599" s="20" t="s">
        <v>65</v>
      </c>
      <c r="C599" s="20" t="s">
        <v>65</v>
      </c>
      <c r="D599" s="102" t="str">
        <f>'пр.4 вед.стр.'!E573</f>
        <v xml:space="preserve">7Т 0 07 93810 </v>
      </c>
      <c r="E599" s="97" t="str">
        <f>'пр.4 вед.стр.'!F573</f>
        <v>610</v>
      </c>
      <c r="F599" s="59">
        <f>'пр.4 вед.стр.'!G573</f>
        <v>170.3</v>
      </c>
      <c r="G599" s="59">
        <f>'пр.4 вед.стр.'!H573</f>
        <v>170.3</v>
      </c>
      <c r="H599" s="59">
        <f>'пр.4 вед.стр.'!I573</f>
        <v>0</v>
      </c>
      <c r="I599" s="190">
        <f t="shared" si="266"/>
        <v>100</v>
      </c>
      <c r="K599" s="70"/>
      <c r="L599" s="70"/>
      <c r="M599" s="70"/>
      <c r="N599" s="70"/>
    </row>
    <row r="600" spans="1:14">
      <c r="A600" s="16" t="s">
        <v>47</v>
      </c>
      <c r="B600" s="20" t="s">
        <v>65</v>
      </c>
      <c r="C600" s="20" t="s">
        <v>65</v>
      </c>
      <c r="D600" s="97" t="s">
        <v>476</v>
      </c>
      <c r="E600" s="97"/>
      <c r="F600" s="59">
        <f>F601</f>
        <v>35</v>
      </c>
      <c r="G600" s="59">
        <f t="shared" ref="G600:H602" si="270">G601</f>
        <v>35</v>
      </c>
      <c r="H600" s="59">
        <f t="shared" si="270"/>
        <v>0</v>
      </c>
      <c r="I600" s="190">
        <f t="shared" si="266"/>
        <v>100</v>
      </c>
    </row>
    <row r="601" spans="1:14">
      <c r="A601" s="16" t="s">
        <v>262</v>
      </c>
      <c r="B601" s="20" t="s">
        <v>65</v>
      </c>
      <c r="C601" s="20" t="s">
        <v>65</v>
      </c>
      <c r="D601" s="97" t="s">
        <v>477</v>
      </c>
      <c r="E601" s="97"/>
      <c r="F601" s="59">
        <f>F602</f>
        <v>35</v>
      </c>
      <c r="G601" s="59">
        <f t="shared" si="270"/>
        <v>35</v>
      </c>
      <c r="H601" s="59">
        <f t="shared" si="270"/>
        <v>0</v>
      </c>
      <c r="I601" s="190">
        <f t="shared" si="266"/>
        <v>100</v>
      </c>
    </row>
    <row r="602" spans="1:14" ht="25.5">
      <c r="A602" s="16" t="s">
        <v>331</v>
      </c>
      <c r="B602" s="20" t="s">
        <v>65</v>
      </c>
      <c r="C602" s="20" t="s">
        <v>65</v>
      </c>
      <c r="D602" s="97" t="s">
        <v>477</v>
      </c>
      <c r="E602" s="97" t="s">
        <v>92</v>
      </c>
      <c r="F602" s="59">
        <f>F603</f>
        <v>35</v>
      </c>
      <c r="G602" s="59">
        <f t="shared" si="270"/>
        <v>35</v>
      </c>
      <c r="H602" s="59">
        <f t="shared" si="270"/>
        <v>0</v>
      </c>
      <c r="I602" s="190">
        <f t="shared" si="266"/>
        <v>100</v>
      </c>
    </row>
    <row r="603" spans="1:14" ht="25.5">
      <c r="A603" s="16" t="s">
        <v>556</v>
      </c>
      <c r="B603" s="20" t="s">
        <v>65</v>
      </c>
      <c r="C603" s="20" t="s">
        <v>65</v>
      </c>
      <c r="D603" s="97" t="s">
        <v>477</v>
      </c>
      <c r="E603" s="97" t="s">
        <v>89</v>
      </c>
      <c r="F603" s="59">
        <f>'пр.4 вед.стр.'!G693</f>
        <v>35</v>
      </c>
      <c r="G603" s="59">
        <f>'пр.4 вед.стр.'!H693</f>
        <v>35</v>
      </c>
      <c r="H603" s="59">
        <f>'пр.4 вед.стр.'!I693</f>
        <v>0</v>
      </c>
      <c r="I603" s="190">
        <f t="shared" si="266"/>
        <v>100</v>
      </c>
    </row>
    <row r="604" spans="1:14">
      <c r="A604" s="15" t="s">
        <v>10</v>
      </c>
      <c r="B604" s="31" t="s">
        <v>65</v>
      </c>
      <c r="C604" s="31" t="s">
        <v>71</v>
      </c>
      <c r="D604" s="100"/>
      <c r="E604" s="100"/>
      <c r="F604" s="143">
        <f>F606+F621+F640+F654</f>
        <v>45131.099999999991</v>
      </c>
      <c r="G604" s="143">
        <f t="shared" ref="G604:H604" si="271">G606+G621+G640+G654</f>
        <v>45057.9</v>
      </c>
      <c r="H604" s="143">
        <f t="shared" si="271"/>
        <v>73.199999999995669</v>
      </c>
      <c r="I604" s="190">
        <f t="shared" si="266"/>
        <v>99.837805858931006</v>
      </c>
    </row>
    <row r="605" spans="1:14">
      <c r="A605" s="16" t="s">
        <v>430</v>
      </c>
      <c r="B605" s="20" t="s">
        <v>65</v>
      </c>
      <c r="C605" s="20" t="s">
        <v>71</v>
      </c>
      <c r="D605" s="102" t="s">
        <v>431</v>
      </c>
      <c r="E605" s="97"/>
      <c r="F605" s="59">
        <f>F606</f>
        <v>2250.4</v>
      </c>
      <c r="G605" s="59">
        <f t="shared" ref="G605:H605" si="272">G606</f>
        <v>2250.4</v>
      </c>
      <c r="H605" s="59">
        <f t="shared" si="272"/>
        <v>0</v>
      </c>
      <c r="I605" s="190">
        <f t="shared" si="266"/>
        <v>100</v>
      </c>
    </row>
    <row r="606" spans="1:14" ht="25.5">
      <c r="A606" s="28" t="str">
        <f>'пр.4 вед.стр.'!A576</f>
        <v>Муниципальная  программа  "Развитие образования в Сусуманском городском округе  на 2018- 2022 годы"</v>
      </c>
      <c r="B606" s="20" t="s">
        <v>65</v>
      </c>
      <c r="C606" s="20" t="s">
        <v>71</v>
      </c>
      <c r="D606" s="102" t="str">
        <f>'пр.4 вед.стр.'!E576</f>
        <v xml:space="preserve">7Р 0 00 00000 </v>
      </c>
      <c r="E606" s="97"/>
      <c r="F606" s="59">
        <f>F607+F611+F617</f>
        <v>2250.4</v>
      </c>
      <c r="G606" s="59">
        <f t="shared" ref="G606:H606" si="273">G607+G611+G617</f>
        <v>2250.4</v>
      </c>
      <c r="H606" s="59">
        <f t="shared" si="273"/>
        <v>0</v>
      </c>
      <c r="I606" s="190">
        <f t="shared" si="266"/>
        <v>100</v>
      </c>
    </row>
    <row r="607" spans="1:14">
      <c r="A607" s="28" t="str">
        <f>'пр.4 вед.стр.'!A577</f>
        <v>Основное мероприятие "Модернизация системы образования"</v>
      </c>
      <c r="B607" s="20" t="s">
        <v>65</v>
      </c>
      <c r="C607" s="20" t="s">
        <v>71</v>
      </c>
      <c r="D607" s="102" t="str">
        <f>'пр.4 вед.стр.'!E577</f>
        <v xml:space="preserve">7Р 0 01 00000 </v>
      </c>
      <c r="E607" s="97"/>
      <c r="F607" s="59">
        <f>F608</f>
        <v>25</v>
      </c>
      <c r="G607" s="59">
        <f t="shared" ref="G607:H609" si="274">G608</f>
        <v>25</v>
      </c>
      <c r="H607" s="59">
        <f t="shared" si="274"/>
        <v>0</v>
      </c>
      <c r="I607" s="190">
        <f t="shared" si="266"/>
        <v>100</v>
      </c>
    </row>
    <row r="608" spans="1:14" ht="38.25">
      <c r="A608" s="28" t="str">
        <f>'пр.4 вед.стр.'!A578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608" s="20" t="s">
        <v>65</v>
      </c>
      <c r="C608" s="20" t="s">
        <v>71</v>
      </c>
      <c r="D608" s="102" t="str">
        <f>'пр.4 вед.стр.'!E578</f>
        <v xml:space="preserve">7Р 0 01 92100 </v>
      </c>
      <c r="E608" s="97"/>
      <c r="F608" s="59">
        <f>F609</f>
        <v>25</v>
      </c>
      <c r="G608" s="59">
        <f t="shared" si="274"/>
        <v>25</v>
      </c>
      <c r="H608" s="59">
        <f t="shared" si="274"/>
        <v>0</v>
      </c>
      <c r="I608" s="190">
        <f t="shared" si="266"/>
        <v>100</v>
      </c>
    </row>
    <row r="609" spans="1:9" ht="25.5">
      <c r="A609" s="28" t="str">
        <f>'пр.4 вед.стр.'!A579</f>
        <v>Закупка товаров, работ и услуг для обеспечения государственных (муниципальных) нужд</v>
      </c>
      <c r="B609" s="20" t="s">
        <v>65</v>
      </c>
      <c r="C609" s="20" t="s">
        <v>71</v>
      </c>
      <c r="D609" s="102" t="str">
        <f>'пр.4 вед.стр.'!E579</f>
        <v xml:space="preserve">7Р 0 01 92100 </v>
      </c>
      <c r="E609" s="97" t="str">
        <f>'пр.4 вед.стр.'!F579</f>
        <v>200</v>
      </c>
      <c r="F609" s="59">
        <f>F610</f>
        <v>25</v>
      </c>
      <c r="G609" s="59">
        <f t="shared" si="274"/>
        <v>25</v>
      </c>
      <c r="H609" s="59">
        <f t="shared" si="274"/>
        <v>0</v>
      </c>
      <c r="I609" s="190">
        <f t="shared" si="266"/>
        <v>100</v>
      </c>
    </row>
    <row r="610" spans="1:9" ht="25.5">
      <c r="A610" s="16" t="s">
        <v>556</v>
      </c>
      <c r="B610" s="20" t="s">
        <v>65</v>
      </c>
      <c r="C610" s="20" t="s">
        <v>71</v>
      </c>
      <c r="D610" s="102" t="str">
        <f>'пр.4 вед.стр.'!E580</f>
        <v xml:space="preserve">7Р 0 01 92100 </v>
      </c>
      <c r="E610" s="97" t="str">
        <f>'пр.4 вед.стр.'!F580</f>
        <v>240</v>
      </c>
      <c r="F610" s="59">
        <f>'пр.4 вед.стр.'!G580</f>
        <v>25</v>
      </c>
      <c r="G610" s="59">
        <f>'пр.4 вед.стр.'!H580</f>
        <v>25</v>
      </c>
      <c r="H610" s="59">
        <f>'пр.4 вед.стр.'!I580</f>
        <v>0</v>
      </c>
      <c r="I610" s="190">
        <f t="shared" si="266"/>
        <v>100</v>
      </c>
    </row>
    <row r="611" spans="1:9" ht="38.25">
      <c r="A611" s="16" t="str">
        <f>'пр.4 вед.стр.'!A157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611" s="20" t="s">
        <v>65</v>
      </c>
      <c r="C611" s="20" t="s">
        <v>71</v>
      </c>
      <c r="D611" s="97" t="str">
        <f>'пр.4 вед.стр.'!E157</f>
        <v>7Р 0 03 00000</v>
      </c>
      <c r="E611" s="97"/>
      <c r="F611" s="59">
        <f>F612</f>
        <v>2133.4</v>
      </c>
      <c r="G611" s="59">
        <f t="shared" ref="G611:H611" si="275">G612</f>
        <v>2133.4</v>
      </c>
      <c r="H611" s="59">
        <f t="shared" si="275"/>
        <v>0</v>
      </c>
      <c r="I611" s="190">
        <f t="shared" si="266"/>
        <v>100</v>
      </c>
    </row>
    <row r="612" spans="1:9" ht="38.25">
      <c r="A612" s="16" t="str">
        <f>'пр.4 вед.стр.'!A158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612" s="20" t="s">
        <v>65</v>
      </c>
      <c r="C612" s="20" t="s">
        <v>71</v>
      </c>
      <c r="D612" s="97" t="str">
        <f>'пр.4 вед.стр.'!E158</f>
        <v>7Р 0 03 74020</v>
      </c>
      <c r="E612" s="97"/>
      <c r="F612" s="59">
        <f>F613+F615</f>
        <v>2133.4</v>
      </c>
      <c r="G612" s="59">
        <f t="shared" ref="G612:H612" si="276">G613+G615</f>
        <v>2133.4</v>
      </c>
      <c r="H612" s="59">
        <f t="shared" si="276"/>
        <v>0</v>
      </c>
      <c r="I612" s="190">
        <f t="shared" si="266"/>
        <v>100</v>
      </c>
    </row>
    <row r="613" spans="1:9" ht="51">
      <c r="A613" s="16" t="str">
        <f>'пр.4 вед.стр.'!A159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13" s="20" t="s">
        <v>65</v>
      </c>
      <c r="C613" s="20" t="s">
        <v>71</v>
      </c>
      <c r="D613" s="97" t="str">
        <f>'пр.4 вед.стр.'!E159</f>
        <v>7Р 0 03 74020</v>
      </c>
      <c r="E613" s="97" t="str">
        <f>'пр.4 вед.стр.'!F159</f>
        <v>100</v>
      </c>
      <c r="F613" s="59">
        <f>F614</f>
        <v>1825</v>
      </c>
      <c r="G613" s="59">
        <f t="shared" ref="G613:H613" si="277">G614</f>
        <v>1825</v>
      </c>
      <c r="H613" s="59">
        <f t="shared" si="277"/>
        <v>0</v>
      </c>
      <c r="I613" s="190">
        <f t="shared" si="266"/>
        <v>100</v>
      </c>
    </row>
    <row r="614" spans="1:9" ht="25.5">
      <c r="A614" s="16" t="str">
        <f>'пр.4 вед.стр.'!A160</f>
        <v>Расходы на выплаты персоналу государственных (муниципальных) органов</v>
      </c>
      <c r="B614" s="20" t="s">
        <v>65</v>
      </c>
      <c r="C614" s="20" t="s">
        <v>71</v>
      </c>
      <c r="D614" s="97" t="str">
        <f>'пр.4 вед.стр.'!E160</f>
        <v>7Р 0 03 74020</v>
      </c>
      <c r="E614" s="97" t="str">
        <f>'пр.4 вед.стр.'!F160</f>
        <v>120</v>
      </c>
      <c r="F614" s="59">
        <f>'пр.4 вед.стр.'!G160</f>
        <v>1825</v>
      </c>
      <c r="G614" s="59">
        <f>'пр.4 вед.стр.'!H160</f>
        <v>1825</v>
      </c>
      <c r="H614" s="59">
        <f>'пр.4 вед.стр.'!I160</f>
        <v>0</v>
      </c>
      <c r="I614" s="190">
        <f t="shared" si="266"/>
        <v>100</v>
      </c>
    </row>
    <row r="615" spans="1:9" ht="25.5">
      <c r="A615" s="16" t="str">
        <f>'пр.4 вед.стр.'!A161</f>
        <v>Закупка товаров, работ и услуг для обеспечения государственных (муниципальных) нужд</v>
      </c>
      <c r="B615" s="20" t="s">
        <v>65</v>
      </c>
      <c r="C615" s="20" t="s">
        <v>71</v>
      </c>
      <c r="D615" s="97" t="str">
        <f>'пр.4 вед.стр.'!E161</f>
        <v>7Р 0 03 74020</v>
      </c>
      <c r="E615" s="97" t="str">
        <f>'пр.4 вед.стр.'!F161</f>
        <v>200</v>
      </c>
      <c r="F615" s="59">
        <f>F616</f>
        <v>308.39999999999998</v>
      </c>
      <c r="G615" s="59">
        <f t="shared" ref="G615:H615" si="278">G616</f>
        <v>308.39999999999998</v>
      </c>
      <c r="H615" s="59">
        <f t="shared" si="278"/>
        <v>0</v>
      </c>
      <c r="I615" s="190">
        <f t="shared" si="266"/>
        <v>100</v>
      </c>
    </row>
    <row r="616" spans="1:9" ht="25.5">
      <c r="A616" s="16" t="str">
        <f>'пр.4 вед.стр.'!A162</f>
        <v>Иные закупки товаров, работ и услуг для обеспечения государственных ( муниципальных ) нужд</v>
      </c>
      <c r="B616" s="20" t="s">
        <v>65</v>
      </c>
      <c r="C616" s="20" t="s">
        <v>71</v>
      </c>
      <c r="D616" s="97" t="str">
        <f>'пр.4 вед.стр.'!E162</f>
        <v>7Р 0 03 74020</v>
      </c>
      <c r="E616" s="121">
        <f>'пр.4 вед.стр.'!F162</f>
        <v>240</v>
      </c>
      <c r="F616" s="59">
        <f>'пр.4 вед.стр.'!G162</f>
        <v>308.39999999999998</v>
      </c>
      <c r="G616" s="59">
        <f>'пр.4 вед.стр.'!H162</f>
        <v>308.39999999999998</v>
      </c>
      <c r="H616" s="59">
        <f>'пр.4 вед.стр.'!I162</f>
        <v>0</v>
      </c>
      <c r="I616" s="190">
        <f t="shared" si="266"/>
        <v>100</v>
      </c>
    </row>
    <row r="617" spans="1:9">
      <c r="A617" s="16" t="str">
        <f>'пр.4 вед.стр.'!A581</f>
        <v>Основное мероприятие "Развитие кадрового потенциала"</v>
      </c>
      <c r="B617" s="20" t="s">
        <v>65</v>
      </c>
      <c r="C617" s="20" t="s">
        <v>71</v>
      </c>
      <c r="D617" s="97" t="str">
        <f>'пр.4 вед.стр.'!E581</f>
        <v>7Р 0 06 00000</v>
      </c>
      <c r="E617" s="121"/>
      <c r="F617" s="59">
        <f>F618</f>
        <v>92</v>
      </c>
      <c r="G617" s="59">
        <f t="shared" ref="G617:H619" si="279">G618</f>
        <v>92</v>
      </c>
      <c r="H617" s="59">
        <f t="shared" si="279"/>
        <v>0</v>
      </c>
      <c r="I617" s="190">
        <f t="shared" si="266"/>
        <v>100</v>
      </c>
    </row>
    <row r="618" spans="1:9" ht="25.5">
      <c r="A618" s="16" t="str">
        <f>'пр.4 вед.стр.'!A582</f>
        <v>Развитие творческого и профессионального потенциала педагогических работников образовательных учреждений</v>
      </c>
      <c r="B618" s="20" t="s">
        <v>65</v>
      </c>
      <c r="C618" s="20" t="s">
        <v>71</v>
      </c>
      <c r="D618" s="97" t="str">
        <f>'пр.4 вед.стр.'!E582</f>
        <v>7Р 0 06 91510</v>
      </c>
      <c r="E618" s="121"/>
      <c r="F618" s="59">
        <f>F619</f>
        <v>92</v>
      </c>
      <c r="G618" s="59">
        <f t="shared" si="279"/>
        <v>92</v>
      </c>
      <c r="H618" s="59">
        <f t="shared" si="279"/>
        <v>0</v>
      </c>
      <c r="I618" s="190">
        <f t="shared" si="266"/>
        <v>100</v>
      </c>
    </row>
    <row r="619" spans="1:9">
      <c r="A619" s="16" t="str">
        <f>'пр.4 вед.стр.'!A583</f>
        <v>Социальное обеспечение и иные выплаты населению</v>
      </c>
      <c r="B619" s="20" t="s">
        <v>65</v>
      </c>
      <c r="C619" s="20" t="s">
        <v>71</v>
      </c>
      <c r="D619" s="97" t="str">
        <f>'пр.4 вед.стр.'!E583</f>
        <v>7Р 0 06 91510</v>
      </c>
      <c r="E619" s="121" t="str">
        <f>'пр.4 вед.стр.'!F583</f>
        <v>300</v>
      </c>
      <c r="F619" s="59">
        <f>F620</f>
        <v>92</v>
      </c>
      <c r="G619" s="59">
        <f t="shared" si="279"/>
        <v>92</v>
      </c>
      <c r="H619" s="59">
        <f t="shared" si="279"/>
        <v>0</v>
      </c>
      <c r="I619" s="190">
        <f t="shared" si="266"/>
        <v>100</v>
      </c>
    </row>
    <row r="620" spans="1:9">
      <c r="A620" s="16" t="str">
        <f>'пр.4 вед.стр.'!A584</f>
        <v>Премии и гранты</v>
      </c>
      <c r="B620" s="20" t="s">
        <v>65</v>
      </c>
      <c r="C620" s="20" t="s">
        <v>71</v>
      </c>
      <c r="D620" s="97" t="str">
        <f>'пр.4 вед.стр.'!E584</f>
        <v>7Р 0 06 91510</v>
      </c>
      <c r="E620" s="121" t="str">
        <f>'пр.4 вед.стр.'!F584</f>
        <v>350</v>
      </c>
      <c r="F620" s="59">
        <f>'пр.4 вед.стр.'!G584</f>
        <v>92</v>
      </c>
      <c r="G620" s="59">
        <f>'пр.4 вед.стр.'!H584</f>
        <v>92</v>
      </c>
      <c r="H620" s="59">
        <f>'пр.4 вед.стр.'!I584</f>
        <v>0</v>
      </c>
      <c r="I620" s="190">
        <f t="shared" si="266"/>
        <v>100</v>
      </c>
    </row>
    <row r="621" spans="1:9" ht="25.5">
      <c r="A621" s="16" t="s">
        <v>275</v>
      </c>
      <c r="B621" s="20" t="s">
        <v>65</v>
      </c>
      <c r="C621" s="20" t="s">
        <v>71</v>
      </c>
      <c r="D621" s="97" t="s">
        <v>173</v>
      </c>
      <c r="E621" s="97"/>
      <c r="F621" s="59">
        <f>F622</f>
        <v>10172.5</v>
      </c>
      <c r="G621" s="59">
        <f t="shared" ref="G621:H621" si="280">G622</f>
        <v>10143.700000000001</v>
      </c>
      <c r="H621" s="59">
        <f t="shared" si="280"/>
        <v>28.799999999999301</v>
      </c>
      <c r="I621" s="190">
        <f t="shared" si="266"/>
        <v>99.716883755222412</v>
      </c>
    </row>
    <row r="622" spans="1:9">
      <c r="A622" s="16" t="s">
        <v>46</v>
      </c>
      <c r="B622" s="20" t="s">
        <v>65</v>
      </c>
      <c r="C622" s="20" t="s">
        <v>71</v>
      </c>
      <c r="D622" s="97" t="s">
        <v>179</v>
      </c>
      <c r="E622" s="97"/>
      <c r="F622" s="59">
        <f>F623+F626+F631+F634+F637</f>
        <v>10172.5</v>
      </c>
      <c r="G622" s="59">
        <f t="shared" ref="G622:H622" si="281">G623+G626+G631+G634+G637</f>
        <v>10143.700000000001</v>
      </c>
      <c r="H622" s="59">
        <f t="shared" si="281"/>
        <v>28.799999999999301</v>
      </c>
      <c r="I622" s="190">
        <f t="shared" si="266"/>
        <v>99.716883755222412</v>
      </c>
    </row>
    <row r="623" spans="1:9" ht="25.5">
      <c r="A623" s="16" t="s">
        <v>175</v>
      </c>
      <c r="B623" s="20" t="s">
        <v>65</v>
      </c>
      <c r="C623" s="20" t="s">
        <v>71</v>
      </c>
      <c r="D623" s="97" t="s">
        <v>180</v>
      </c>
      <c r="E623" s="97"/>
      <c r="F623" s="59">
        <f>F624</f>
        <v>9530.7999999999993</v>
      </c>
      <c r="G623" s="59">
        <f t="shared" ref="G623:H624" si="282">G624</f>
        <v>9530</v>
      </c>
      <c r="H623" s="59">
        <f t="shared" si="282"/>
        <v>0.7999999999992724</v>
      </c>
      <c r="I623" s="190">
        <f t="shared" si="266"/>
        <v>99.991606161077769</v>
      </c>
    </row>
    <row r="624" spans="1:9" ht="51">
      <c r="A624" s="16" t="s">
        <v>90</v>
      </c>
      <c r="B624" s="20" t="s">
        <v>65</v>
      </c>
      <c r="C624" s="20" t="s">
        <v>71</v>
      </c>
      <c r="D624" s="97" t="s">
        <v>180</v>
      </c>
      <c r="E624" s="97" t="s">
        <v>91</v>
      </c>
      <c r="F624" s="59">
        <f>F625</f>
        <v>9530.7999999999993</v>
      </c>
      <c r="G624" s="59">
        <f t="shared" si="282"/>
        <v>9530</v>
      </c>
      <c r="H624" s="59">
        <f t="shared" si="282"/>
        <v>0.7999999999992724</v>
      </c>
      <c r="I624" s="190">
        <f t="shared" si="266"/>
        <v>99.991606161077769</v>
      </c>
    </row>
    <row r="625" spans="1:9" ht="25.5">
      <c r="A625" s="16" t="s">
        <v>87</v>
      </c>
      <c r="B625" s="20" t="s">
        <v>65</v>
      </c>
      <c r="C625" s="20" t="s">
        <v>71</v>
      </c>
      <c r="D625" s="97" t="s">
        <v>180</v>
      </c>
      <c r="E625" s="97" t="s">
        <v>88</v>
      </c>
      <c r="F625" s="59">
        <f>'пр.4 вед.стр.'!G589</f>
        <v>9530.7999999999993</v>
      </c>
      <c r="G625" s="59">
        <f>'пр.4 вед.стр.'!H589</f>
        <v>9530</v>
      </c>
      <c r="H625" s="59">
        <f>'пр.4 вед.стр.'!I589</f>
        <v>0.7999999999992724</v>
      </c>
      <c r="I625" s="190">
        <f t="shared" si="266"/>
        <v>99.991606161077769</v>
      </c>
    </row>
    <row r="626" spans="1:9">
      <c r="A626" s="16" t="s">
        <v>176</v>
      </c>
      <c r="B626" s="20" t="s">
        <v>65</v>
      </c>
      <c r="C626" s="20" t="s">
        <v>71</v>
      </c>
      <c r="D626" s="97" t="s">
        <v>181</v>
      </c>
      <c r="E626" s="97"/>
      <c r="F626" s="59">
        <f>F627+F629</f>
        <v>274.70000000000005</v>
      </c>
      <c r="G626" s="59">
        <f t="shared" ref="G626:H626" si="283">G627+G629</f>
        <v>247.20000000000002</v>
      </c>
      <c r="H626" s="59">
        <f t="shared" si="283"/>
        <v>27.500000000000039</v>
      </c>
      <c r="I626" s="190">
        <f t="shared" si="266"/>
        <v>89.989078995267562</v>
      </c>
    </row>
    <row r="627" spans="1:9" ht="25.5">
      <c r="A627" s="16" t="s">
        <v>331</v>
      </c>
      <c r="B627" s="20" t="s">
        <v>65</v>
      </c>
      <c r="C627" s="20" t="s">
        <v>71</v>
      </c>
      <c r="D627" s="97" t="s">
        <v>181</v>
      </c>
      <c r="E627" s="97" t="s">
        <v>92</v>
      </c>
      <c r="F627" s="59">
        <f>F628</f>
        <v>273.70000000000005</v>
      </c>
      <c r="G627" s="59">
        <f t="shared" ref="G627:H627" si="284">G628</f>
        <v>246.4</v>
      </c>
      <c r="H627" s="59">
        <f t="shared" si="284"/>
        <v>27.30000000000004</v>
      </c>
      <c r="I627" s="190">
        <f t="shared" si="266"/>
        <v>90.025575447570318</v>
      </c>
    </row>
    <row r="628" spans="1:9" ht="25.5">
      <c r="A628" s="16" t="s">
        <v>556</v>
      </c>
      <c r="B628" s="20" t="s">
        <v>65</v>
      </c>
      <c r="C628" s="20" t="s">
        <v>71</v>
      </c>
      <c r="D628" s="97" t="s">
        <v>181</v>
      </c>
      <c r="E628" s="97" t="s">
        <v>89</v>
      </c>
      <c r="F628" s="59">
        <f>'пр.4 вед.стр.'!G595</f>
        <v>273.70000000000005</v>
      </c>
      <c r="G628" s="59">
        <f>'пр.4 вед.стр.'!H595</f>
        <v>246.4</v>
      </c>
      <c r="H628" s="59">
        <f>'пр.4 вед.стр.'!I595</f>
        <v>27.30000000000004</v>
      </c>
      <c r="I628" s="190">
        <f t="shared" si="266"/>
        <v>90.025575447570318</v>
      </c>
    </row>
    <row r="629" spans="1:9">
      <c r="A629" s="16" t="s">
        <v>108</v>
      </c>
      <c r="B629" s="20" t="s">
        <v>65</v>
      </c>
      <c r="C629" s="20" t="s">
        <v>71</v>
      </c>
      <c r="D629" s="97" t="s">
        <v>181</v>
      </c>
      <c r="E629" s="97" t="s">
        <v>109</v>
      </c>
      <c r="F629" s="59">
        <f>F630</f>
        <v>1</v>
      </c>
      <c r="G629" s="59">
        <f t="shared" ref="G629:H629" si="285">G630</f>
        <v>0.8</v>
      </c>
      <c r="H629" s="59">
        <f t="shared" si="285"/>
        <v>0.19999999999999996</v>
      </c>
      <c r="I629" s="190">
        <f t="shared" si="266"/>
        <v>80</v>
      </c>
    </row>
    <row r="630" spans="1:9">
      <c r="A630" s="16" t="s">
        <v>111</v>
      </c>
      <c r="B630" s="20" t="s">
        <v>65</v>
      </c>
      <c r="C630" s="20" t="s">
        <v>71</v>
      </c>
      <c r="D630" s="97" t="s">
        <v>181</v>
      </c>
      <c r="E630" s="97" t="s">
        <v>112</v>
      </c>
      <c r="F630" s="59">
        <f>'пр.4 вед.стр.'!G597</f>
        <v>1</v>
      </c>
      <c r="G630" s="59">
        <f>'пр.4 вед.стр.'!H597</f>
        <v>0.8</v>
      </c>
      <c r="H630" s="59">
        <f>'пр.4 вед.стр.'!I597</f>
        <v>0.19999999999999996</v>
      </c>
      <c r="I630" s="190">
        <f t="shared" si="266"/>
        <v>80</v>
      </c>
    </row>
    <row r="631" spans="1:9" ht="51">
      <c r="A631" s="16" t="s">
        <v>202</v>
      </c>
      <c r="B631" s="20" t="s">
        <v>65</v>
      </c>
      <c r="C631" s="20" t="s">
        <v>71</v>
      </c>
      <c r="D631" s="97" t="s">
        <v>414</v>
      </c>
      <c r="E631" s="97"/>
      <c r="F631" s="59">
        <f>F632</f>
        <v>129</v>
      </c>
      <c r="G631" s="59">
        <f t="shared" ref="G631:H632" si="286">G632</f>
        <v>128.80000000000001</v>
      </c>
      <c r="H631" s="59">
        <f t="shared" si="286"/>
        <v>0.19999999999998863</v>
      </c>
      <c r="I631" s="190">
        <f t="shared" si="266"/>
        <v>99.844961240310084</v>
      </c>
    </row>
    <row r="632" spans="1:9" ht="51">
      <c r="A632" s="16" t="s">
        <v>90</v>
      </c>
      <c r="B632" s="20" t="s">
        <v>65</v>
      </c>
      <c r="C632" s="20" t="s">
        <v>71</v>
      </c>
      <c r="D632" s="97" t="s">
        <v>414</v>
      </c>
      <c r="E632" s="97" t="s">
        <v>91</v>
      </c>
      <c r="F632" s="59">
        <f>F633</f>
        <v>129</v>
      </c>
      <c r="G632" s="59">
        <f t="shared" si="286"/>
        <v>128.80000000000001</v>
      </c>
      <c r="H632" s="59">
        <f t="shared" si="286"/>
        <v>0.19999999999998863</v>
      </c>
      <c r="I632" s="190">
        <f t="shared" si="266"/>
        <v>99.844961240310084</v>
      </c>
    </row>
    <row r="633" spans="1:9" ht="25.5">
      <c r="A633" s="16" t="s">
        <v>87</v>
      </c>
      <c r="B633" s="20" t="s">
        <v>65</v>
      </c>
      <c r="C633" s="20" t="s">
        <v>71</v>
      </c>
      <c r="D633" s="97" t="s">
        <v>414</v>
      </c>
      <c r="E633" s="97" t="s">
        <v>88</v>
      </c>
      <c r="F633" s="59">
        <f>'пр.4 вед.стр.'!G600</f>
        <v>129</v>
      </c>
      <c r="G633" s="59">
        <f>'пр.4 вед.стр.'!H600</f>
        <v>128.80000000000001</v>
      </c>
      <c r="H633" s="59">
        <f>'пр.4 вед.стр.'!I600</f>
        <v>0.19999999999998863</v>
      </c>
      <c r="I633" s="190">
        <f t="shared" si="266"/>
        <v>99.844961240310084</v>
      </c>
    </row>
    <row r="634" spans="1:9">
      <c r="A634" s="16" t="s">
        <v>174</v>
      </c>
      <c r="B634" s="20" t="s">
        <v>65</v>
      </c>
      <c r="C634" s="20" t="s">
        <v>71</v>
      </c>
      <c r="D634" s="97" t="s">
        <v>415</v>
      </c>
      <c r="E634" s="97"/>
      <c r="F634" s="59">
        <f>F635</f>
        <v>11</v>
      </c>
      <c r="G634" s="59">
        <f t="shared" ref="G634:H635" si="287">G635</f>
        <v>10.7</v>
      </c>
      <c r="H634" s="59">
        <f t="shared" si="287"/>
        <v>0.30000000000000071</v>
      </c>
      <c r="I634" s="190">
        <f t="shared" si="266"/>
        <v>97.272727272727266</v>
      </c>
    </row>
    <row r="635" spans="1:9" ht="51">
      <c r="A635" s="16" t="s">
        <v>90</v>
      </c>
      <c r="B635" s="20" t="s">
        <v>65</v>
      </c>
      <c r="C635" s="20" t="s">
        <v>71</v>
      </c>
      <c r="D635" s="97" t="s">
        <v>415</v>
      </c>
      <c r="E635" s="97" t="s">
        <v>91</v>
      </c>
      <c r="F635" s="59">
        <f>F636</f>
        <v>11</v>
      </c>
      <c r="G635" s="59">
        <f t="shared" si="287"/>
        <v>10.7</v>
      </c>
      <c r="H635" s="59">
        <f t="shared" si="287"/>
        <v>0.30000000000000071</v>
      </c>
      <c r="I635" s="190">
        <f t="shared" si="266"/>
        <v>97.272727272727266</v>
      </c>
    </row>
    <row r="636" spans="1:9" ht="25.5">
      <c r="A636" s="16" t="s">
        <v>87</v>
      </c>
      <c r="B636" s="20" t="s">
        <v>65</v>
      </c>
      <c r="C636" s="20" t="s">
        <v>71</v>
      </c>
      <c r="D636" s="97" t="s">
        <v>415</v>
      </c>
      <c r="E636" s="97" t="s">
        <v>88</v>
      </c>
      <c r="F636" s="59">
        <f>'пр.4 вед.стр.'!G603</f>
        <v>11</v>
      </c>
      <c r="G636" s="59">
        <f>'пр.4 вед.стр.'!H603</f>
        <v>10.7</v>
      </c>
      <c r="H636" s="59">
        <f>'пр.4 вед.стр.'!I603</f>
        <v>0.30000000000000071</v>
      </c>
      <c r="I636" s="190">
        <f t="shared" si="266"/>
        <v>97.272727272727266</v>
      </c>
    </row>
    <row r="637" spans="1:9" ht="38.25">
      <c r="A637" s="16" t="str">
        <f>'пр.4 вед.стр.'!A590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637" s="20" t="s">
        <v>65</v>
      </c>
      <c r="C637" s="20" t="s">
        <v>71</v>
      </c>
      <c r="D637" s="97" t="str">
        <f>'пр.4 вед.стр.'!E590</f>
        <v>Р2 4 00 55500</v>
      </c>
      <c r="E637" s="97"/>
      <c r="F637" s="59">
        <f>F638</f>
        <v>227</v>
      </c>
      <c r="G637" s="59">
        <f t="shared" ref="G637:H638" si="288">G638</f>
        <v>227</v>
      </c>
      <c r="H637" s="59">
        <f t="shared" si="288"/>
        <v>0</v>
      </c>
      <c r="I637" s="190">
        <f t="shared" si="266"/>
        <v>100</v>
      </c>
    </row>
    <row r="638" spans="1:9" ht="51">
      <c r="A638" s="16" t="str">
        <f>'пр.4 вед.стр.'!A591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8" s="20" t="s">
        <v>65</v>
      </c>
      <c r="C638" s="20" t="s">
        <v>71</v>
      </c>
      <c r="D638" s="97" t="str">
        <f>'пр.4 вед.стр.'!E591</f>
        <v>Р2 4 00 55500</v>
      </c>
      <c r="E638" s="97" t="s">
        <v>91</v>
      </c>
      <c r="F638" s="59">
        <f>F639</f>
        <v>227</v>
      </c>
      <c r="G638" s="59">
        <f t="shared" si="288"/>
        <v>227</v>
      </c>
      <c r="H638" s="59">
        <f t="shared" si="288"/>
        <v>0</v>
      </c>
      <c r="I638" s="190">
        <f t="shared" si="266"/>
        <v>100</v>
      </c>
    </row>
    <row r="639" spans="1:9" ht="25.5">
      <c r="A639" s="16" t="str">
        <f>'пр.4 вед.стр.'!A592</f>
        <v>Расходы на выплаты персоналу государственных (муниципальных) органов</v>
      </c>
      <c r="B639" s="20" t="s">
        <v>65</v>
      </c>
      <c r="C639" s="20" t="s">
        <v>71</v>
      </c>
      <c r="D639" s="97" t="str">
        <f>'пр.4 вед.стр.'!E592</f>
        <v>Р2 4 00 55500</v>
      </c>
      <c r="E639" s="97" t="s">
        <v>88</v>
      </c>
      <c r="F639" s="59">
        <f>'пр.4 вед.стр.'!G592</f>
        <v>227</v>
      </c>
      <c r="G639" s="59">
        <f>'пр.4 вед.стр.'!H592</f>
        <v>227</v>
      </c>
      <c r="H639" s="59">
        <f>'пр.4 вед.стр.'!I592</f>
        <v>0</v>
      </c>
      <c r="I639" s="190">
        <f t="shared" si="266"/>
        <v>100</v>
      </c>
    </row>
    <row r="640" spans="1:9">
      <c r="A640" s="16" t="s">
        <v>467</v>
      </c>
      <c r="B640" s="20" t="s">
        <v>65</v>
      </c>
      <c r="C640" s="20" t="s">
        <v>71</v>
      </c>
      <c r="D640" s="97" t="s">
        <v>468</v>
      </c>
      <c r="E640" s="97"/>
      <c r="F640" s="59">
        <f>F641+F648+F651</f>
        <v>15308.4</v>
      </c>
      <c r="G640" s="59">
        <f t="shared" ref="G640:H640" si="289">G641+G648+G651</f>
        <v>15287.099999999999</v>
      </c>
      <c r="H640" s="59">
        <f t="shared" si="289"/>
        <v>21.300000000000004</v>
      </c>
      <c r="I640" s="190">
        <f t="shared" si="266"/>
        <v>99.860860703927244</v>
      </c>
    </row>
    <row r="641" spans="1:9">
      <c r="A641" s="16" t="s">
        <v>261</v>
      </c>
      <c r="B641" s="20" t="s">
        <v>65</v>
      </c>
      <c r="C641" s="20" t="s">
        <v>71</v>
      </c>
      <c r="D641" s="97" t="s">
        <v>469</v>
      </c>
      <c r="E641" s="97"/>
      <c r="F641" s="59">
        <f>F642+F644+F646</f>
        <v>14790.8</v>
      </c>
      <c r="G641" s="59">
        <f t="shared" ref="G641:H641" si="290">G642+G644+G646</f>
        <v>14770.4</v>
      </c>
      <c r="H641" s="59">
        <f t="shared" si="290"/>
        <v>20.399999999999977</v>
      </c>
      <c r="I641" s="190">
        <f t="shared" si="266"/>
        <v>99.862076425886357</v>
      </c>
    </row>
    <row r="642" spans="1:9" ht="51">
      <c r="A642" s="16" t="s">
        <v>90</v>
      </c>
      <c r="B642" s="20" t="s">
        <v>65</v>
      </c>
      <c r="C642" s="20" t="s">
        <v>71</v>
      </c>
      <c r="D642" s="97" t="s">
        <v>469</v>
      </c>
      <c r="E642" s="97" t="s">
        <v>91</v>
      </c>
      <c r="F642" s="59">
        <f>F643</f>
        <v>14142.5</v>
      </c>
      <c r="G642" s="59">
        <f t="shared" ref="G642:H642" si="291">G643</f>
        <v>14142.5</v>
      </c>
      <c r="H642" s="59">
        <f t="shared" si="291"/>
        <v>0</v>
      </c>
      <c r="I642" s="190">
        <f t="shared" si="266"/>
        <v>100</v>
      </c>
    </row>
    <row r="643" spans="1:9">
      <c r="A643" s="16" t="s">
        <v>206</v>
      </c>
      <c r="B643" s="20" t="s">
        <v>65</v>
      </c>
      <c r="C643" s="20" t="s">
        <v>71</v>
      </c>
      <c r="D643" s="97" t="s">
        <v>469</v>
      </c>
      <c r="E643" s="97" t="s">
        <v>207</v>
      </c>
      <c r="F643" s="59">
        <f>'пр.4 вед.стр.'!G607</f>
        <v>14142.5</v>
      </c>
      <c r="G643" s="59">
        <f>'пр.4 вед.стр.'!H607</f>
        <v>14142.5</v>
      </c>
      <c r="H643" s="59">
        <f>'пр.4 вед.стр.'!I607</f>
        <v>0</v>
      </c>
      <c r="I643" s="190">
        <f t="shared" si="266"/>
        <v>100</v>
      </c>
    </row>
    <row r="644" spans="1:9" ht="25.5">
      <c r="A644" s="16" t="s">
        <v>331</v>
      </c>
      <c r="B644" s="20" t="s">
        <v>65</v>
      </c>
      <c r="C644" s="20" t="s">
        <v>71</v>
      </c>
      <c r="D644" s="97" t="s">
        <v>469</v>
      </c>
      <c r="E644" s="97" t="s">
        <v>92</v>
      </c>
      <c r="F644" s="59">
        <f>F645</f>
        <v>645.29999999999995</v>
      </c>
      <c r="G644" s="59">
        <f t="shared" ref="G644:H644" si="292">G645</f>
        <v>624.9</v>
      </c>
      <c r="H644" s="59">
        <f t="shared" si="292"/>
        <v>20.399999999999977</v>
      </c>
      <c r="I644" s="190">
        <f t="shared" si="266"/>
        <v>96.838679683867966</v>
      </c>
    </row>
    <row r="645" spans="1:9" ht="25.5">
      <c r="A645" s="16" t="s">
        <v>556</v>
      </c>
      <c r="B645" s="20" t="s">
        <v>65</v>
      </c>
      <c r="C645" s="20" t="s">
        <v>71</v>
      </c>
      <c r="D645" s="97" t="s">
        <v>469</v>
      </c>
      <c r="E645" s="97" t="s">
        <v>89</v>
      </c>
      <c r="F645" s="59">
        <f>'пр.4 вед.стр.'!G609</f>
        <v>645.29999999999995</v>
      </c>
      <c r="G645" s="59">
        <f>'пр.4 вед.стр.'!H609</f>
        <v>624.9</v>
      </c>
      <c r="H645" s="59">
        <f>'пр.4 вед.стр.'!I609</f>
        <v>20.399999999999977</v>
      </c>
      <c r="I645" s="190">
        <f t="shared" si="266"/>
        <v>96.838679683867966</v>
      </c>
    </row>
    <row r="646" spans="1:9">
      <c r="A646" s="16" t="s">
        <v>108</v>
      </c>
      <c r="B646" s="20" t="s">
        <v>65</v>
      </c>
      <c r="C646" s="20" t="s">
        <v>71</v>
      </c>
      <c r="D646" s="97" t="s">
        <v>469</v>
      </c>
      <c r="E646" s="97" t="s">
        <v>109</v>
      </c>
      <c r="F646" s="59">
        <f>F647</f>
        <v>3</v>
      </c>
      <c r="G646" s="59">
        <f t="shared" ref="G646:H646" si="293">G647</f>
        <v>3</v>
      </c>
      <c r="H646" s="59">
        <f t="shared" si="293"/>
        <v>0</v>
      </c>
      <c r="I646" s="190">
        <f t="shared" si="266"/>
        <v>100</v>
      </c>
    </row>
    <row r="647" spans="1:9">
      <c r="A647" s="16" t="s">
        <v>111</v>
      </c>
      <c r="B647" s="20" t="s">
        <v>65</v>
      </c>
      <c r="C647" s="20" t="s">
        <v>71</v>
      </c>
      <c r="D647" s="97" t="s">
        <v>469</v>
      </c>
      <c r="E647" s="97" t="s">
        <v>112</v>
      </c>
      <c r="F647" s="59">
        <f>'пр.4 вед.стр.'!G611</f>
        <v>3</v>
      </c>
      <c r="G647" s="59">
        <f>'пр.4 вед.стр.'!H611</f>
        <v>3</v>
      </c>
      <c r="H647" s="59">
        <f>'пр.4 вед.стр.'!I611</f>
        <v>0</v>
      </c>
      <c r="I647" s="190">
        <f t="shared" si="266"/>
        <v>100</v>
      </c>
    </row>
    <row r="648" spans="1:9" ht="51">
      <c r="A648" s="16" t="s">
        <v>202</v>
      </c>
      <c r="B648" s="20" t="s">
        <v>65</v>
      </c>
      <c r="C648" s="20" t="s">
        <v>71</v>
      </c>
      <c r="D648" s="97" t="s">
        <v>470</v>
      </c>
      <c r="E648" s="97"/>
      <c r="F648" s="59">
        <f>F649</f>
        <v>484</v>
      </c>
      <c r="G648" s="59">
        <f t="shared" ref="G648:H649" si="294">G649</f>
        <v>483.4</v>
      </c>
      <c r="H648" s="59">
        <f t="shared" si="294"/>
        <v>0.60000000000002274</v>
      </c>
      <c r="I648" s="190">
        <f t="shared" si="266"/>
        <v>99.876033057851231</v>
      </c>
    </row>
    <row r="649" spans="1:9" ht="51">
      <c r="A649" s="16" t="s">
        <v>90</v>
      </c>
      <c r="B649" s="20" t="s">
        <v>65</v>
      </c>
      <c r="C649" s="20" t="s">
        <v>71</v>
      </c>
      <c r="D649" s="97" t="s">
        <v>470</v>
      </c>
      <c r="E649" s="97" t="s">
        <v>91</v>
      </c>
      <c r="F649" s="59">
        <f>F650</f>
        <v>484</v>
      </c>
      <c r="G649" s="59">
        <f t="shared" si="294"/>
        <v>483.4</v>
      </c>
      <c r="H649" s="59">
        <f t="shared" si="294"/>
        <v>0.60000000000002274</v>
      </c>
      <c r="I649" s="190">
        <f t="shared" si="266"/>
        <v>99.876033057851231</v>
      </c>
    </row>
    <row r="650" spans="1:9">
      <c r="A650" s="16" t="s">
        <v>206</v>
      </c>
      <c r="B650" s="20" t="s">
        <v>65</v>
      </c>
      <c r="C650" s="20" t="s">
        <v>71</v>
      </c>
      <c r="D650" s="97" t="s">
        <v>470</v>
      </c>
      <c r="E650" s="97" t="s">
        <v>207</v>
      </c>
      <c r="F650" s="59">
        <f>'пр.4 вед.стр.'!G614</f>
        <v>484</v>
      </c>
      <c r="G650" s="59">
        <f>'пр.4 вед.стр.'!H614</f>
        <v>483.4</v>
      </c>
      <c r="H650" s="59">
        <f>'пр.4 вед.стр.'!I614</f>
        <v>0.60000000000002274</v>
      </c>
      <c r="I650" s="190">
        <f t="shared" ref="I650:I713" si="295">G650/F650*100</f>
        <v>99.876033057851231</v>
      </c>
    </row>
    <row r="651" spans="1:9">
      <c r="A651" s="16" t="s">
        <v>174</v>
      </c>
      <c r="B651" s="20" t="s">
        <v>65</v>
      </c>
      <c r="C651" s="20" t="s">
        <v>71</v>
      </c>
      <c r="D651" s="97" t="s">
        <v>471</v>
      </c>
      <c r="E651" s="97"/>
      <c r="F651" s="59">
        <f>F652</f>
        <v>33.6</v>
      </c>
      <c r="G651" s="59">
        <f t="shared" ref="G651:H652" si="296">G652</f>
        <v>33.299999999999997</v>
      </c>
      <c r="H651" s="59">
        <f t="shared" si="296"/>
        <v>0.30000000000000426</v>
      </c>
      <c r="I651" s="190">
        <f t="shared" si="295"/>
        <v>99.107142857142847</v>
      </c>
    </row>
    <row r="652" spans="1:9" ht="51">
      <c r="A652" s="16" t="s">
        <v>90</v>
      </c>
      <c r="B652" s="20" t="s">
        <v>65</v>
      </c>
      <c r="C652" s="20" t="s">
        <v>71</v>
      </c>
      <c r="D652" s="97" t="s">
        <v>471</v>
      </c>
      <c r="E652" s="97" t="s">
        <v>91</v>
      </c>
      <c r="F652" s="59">
        <f>F653</f>
        <v>33.6</v>
      </c>
      <c r="G652" s="59">
        <f t="shared" si="296"/>
        <v>33.299999999999997</v>
      </c>
      <c r="H652" s="59">
        <f t="shared" si="296"/>
        <v>0.30000000000000426</v>
      </c>
      <c r="I652" s="190">
        <f t="shared" si="295"/>
        <v>99.107142857142847</v>
      </c>
    </row>
    <row r="653" spans="1:9">
      <c r="A653" s="16" t="s">
        <v>206</v>
      </c>
      <c r="B653" s="20" t="s">
        <v>65</v>
      </c>
      <c r="C653" s="20" t="s">
        <v>71</v>
      </c>
      <c r="D653" s="97" t="s">
        <v>471</v>
      </c>
      <c r="E653" s="97" t="s">
        <v>207</v>
      </c>
      <c r="F653" s="59">
        <f>'пр.4 вед.стр.'!G617</f>
        <v>33.6</v>
      </c>
      <c r="G653" s="59">
        <f>'пр.4 вед.стр.'!H617</f>
        <v>33.299999999999997</v>
      </c>
      <c r="H653" s="59">
        <f>'пр.4 вед.стр.'!I617</f>
        <v>0.30000000000000426</v>
      </c>
      <c r="I653" s="190">
        <f t="shared" si="295"/>
        <v>99.107142857142847</v>
      </c>
    </row>
    <row r="654" spans="1:9">
      <c r="A654" s="16" t="s">
        <v>472</v>
      </c>
      <c r="B654" s="20" t="s">
        <v>65</v>
      </c>
      <c r="C654" s="20" t="s">
        <v>71</v>
      </c>
      <c r="D654" s="97" t="s">
        <v>473</v>
      </c>
      <c r="E654" s="97"/>
      <c r="F654" s="59">
        <f>F655+F662</f>
        <v>17399.799999999996</v>
      </c>
      <c r="G654" s="59">
        <f t="shared" ref="G654:H654" si="297">G655+G662</f>
        <v>17376.700000000004</v>
      </c>
      <c r="H654" s="59">
        <f t="shared" si="297"/>
        <v>23.099999999996356</v>
      </c>
      <c r="I654" s="190">
        <f t="shared" si="295"/>
        <v>99.867239853331697</v>
      </c>
    </row>
    <row r="655" spans="1:9" ht="25.5">
      <c r="A655" s="16" t="s">
        <v>263</v>
      </c>
      <c r="B655" s="20" t="s">
        <v>65</v>
      </c>
      <c r="C655" s="20" t="s">
        <v>71</v>
      </c>
      <c r="D655" s="97" t="s">
        <v>474</v>
      </c>
      <c r="E655" s="97"/>
      <c r="F655" s="59">
        <f>F656+F658+F660</f>
        <v>17164.299999999996</v>
      </c>
      <c r="G655" s="59">
        <f t="shared" ref="G655:H655" si="298">G656+G658+G660</f>
        <v>17146.300000000003</v>
      </c>
      <c r="H655" s="59">
        <f t="shared" si="298"/>
        <v>17.999999999996362</v>
      </c>
      <c r="I655" s="190">
        <f t="shared" si="295"/>
        <v>99.895131173423962</v>
      </c>
    </row>
    <row r="656" spans="1:9" ht="51">
      <c r="A656" s="16" t="s">
        <v>90</v>
      </c>
      <c r="B656" s="20" t="s">
        <v>65</v>
      </c>
      <c r="C656" s="20" t="s">
        <v>71</v>
      </c>
      <c r="D656" s="97" t="s">
        <v>474</v>
      </c>
      <c r="E656" s="97" t="s">
        <v>91</v>
      </c>
      <c r="F656" s="59">
        <f>F657</f>
        <v>13239.399999999998</v>
      </c>
      <c r="G656" s="59">
        <f t="shared" ref="G656:H656" si="299">G657</f>
        <v>13226.900000000001</v>
      </c>
      <c r="H656" s="59">
        <f t="shared" si="299"/>
        <v>12.499999999996362</v>
      </c>
      <c r="I656" s="190">
        <f t="shared" si="295"/>
        <v>99.905584845234713</v>
      </c>
    </row>
    <row r="657" spans="1:9">
      <c r="A657" s="16" t="s">
        <v>206</v>
      </c>
      <c r="B657" s="20" t="s">
        <v>65</v>
      </c>
      <c r="C657" s="20" t="s">
        <v>71</v>
      </c>
      <c r="D657" s="97" t="s">
        <v>474</v>
      </c>
      <c r="E657" s="97" t="s">
        <v>207</v>
      </c>
      <c r="F657" s="59">
        <f>'пр.4 вед.стр.'!G621</f>
        <v>13239.399999999998</v>
      </c>
      <c r="G657" s="59">
        <f>'пр.4 вед.стр.'!H621</f>
        <v>13226.900000000001</v>
      </c>
      <c r="H657" s="59">
        <f>'пр.4 вед.стр.'!I621</f>
        <v>12.499999999996362</v>
      </c>
      <c r="I657" s="190">
        <f t="shared" si="295"/>
        <v>99.905584845234713</v>
      </c>
    </row>
    <row r="658" spans="1:9" ht="25.5">
      <c r="A658" s="16" t="s">
        <v>331</v>
      </c>
      <c r="B658" s="20" t="s">
        <v>65</v>
      </c>
      <c r="C658" s="20" t="s">
        <v>71</v>
      </c>
      <c r="D658" s="97" t="s">
        <v>474</v>
      </c>
      <c r="E658" s="97" t="s">
        <v>92</v>
      </c>
      <c r="F658" s="59">
        <f>F659</f>
        <v>3596.3999999999996</v>
      </c>
      <c r="G658" s="59">
        <f t="shared" ref="G658:H658" si="300">G659</f>
        <v>3596.4</v>
      </c>
      <c r="H658" s="59">
        <f t="shared" si="300"/>
        <v>0</v>
      </c>
      <c r="I658" s="190">
        <f t="shared" si="295"/>
        <v>100.00000000000003</v>
      </c>
    </row>
    <row r="659" spans="1:9" ht="25.5">
      <c r="A659" s="16" t="s">
        <v>556</v>
      </c>
      <c r="B659" s="20" t="s">
        <v>65</v>
      </c>
      <c r="C659" s="20" t="s">
        <v>71</v>
      </c>
      <c r="D659" s="97" t="s">
        <v>474</v>
      </c>
      <c r="E659" s="97" t="s">
        <v>89</v>
      </c>
      <c r="F659" s="59">
        <f>'пр.4 вед.стр.'!G623</f>
        <v>3596.3999999999996</v>
      </c>
      <c r="G659" s="59">
        <f>'пр.4 вед.стр.'!H623</f>
        <v>3596.4</v>
      </c>
      <c r="H659" s="59">
        <f>'пр.4 вед.стр.'!I623</f>
        <v>0</v>
      </c>
      <c r="I659" s="190">
        <f t="shared" si="295"/>
        <v>100.00000000000003</v>
      </c>
    </row>
    <row r="660" spans="1:9">
      <c r="A660" s="16" t="s">
        <v>108</v>
      </c>
      <c r="B660" s="20" t="s">
        <v>65</v>
      </c>
      <c r="C660" s="20" t="s">
        <v>71</v>
      </c>
      <c r="D660" s="97" t="s">
        <v>474</v>
      </c>
      <c r="E660" s="97" t="s">
        <v>109</v>
      </c>
      <c r="F660" s="59">
        <f>F661</f>
        <v>328.5</v>
      </c>
      <c r="G660" s="59">
        <f t="shared" ref="G660:H660" si="301">G661</f>
        <v>323</v>
      </c>
      <c r="H660" s="59">
        <f t="shared" si="301"/>
        <v>5.5</v>
      </c>
      <c r="I660" s="190">
        <f t="shared" si="295"/>
        <v>98.325722983257222</v>
      </c>
    </row>
    <row r="661" spans="1:9">
      <c r="A661" s="16" t="s">
        <v>111</v>
      </c>
      <c r="B661" s="20" t="s">
        <v>65</v>
      </c>
      <c r="C661" s="20" t="s">
        <v>71</v>
      </c>
      <c r="D661" s="97" t="s">
        <v>474</v>
      </c>
      <c r="E661" s="97" t="s">
        <v>112</v>
      </c>
      <c r="F661" s="59">
        <f>'пр.4 вед.стр.'!G625</f>
        <v>328.5</v>
      </c>
      <c r="G661" s="59">
        <f>'пр.4 вед.стр.'!H625</f>
        <v>323</v>
      </c>
      <c r="H661" s="59">
        <f>'пр.4 вед.стр.'!I625</f>
        <v>5.5</v>
      </c>
      <c r="I661" s="190">
        <f t="shared" si="295"/>
        <v>98.325722983257222</v>
      </c>
    </row>
    <row r="662" spans="1:9" ht="51">
      <c r="A662" s="16" t="s">
        <v>202</v>
      </c>
      <c r="B662" s="20" t="s">
        <v>65</v>
      </c>
      <c r="C662" s="20" t="s">
        <v>71</v>
      </c>
      <c r="D662" s="97" t="s">
        <v>475</v>
      </c>
      <c r="E662" s="97"/>
      <c r="F662" s="59">
        <f>F663</f>
        <v>235.5</v>
      </c>
      <c r="G662" s="59">
        <f t="shared" ref="G662:H663" si="302">G663</f>
        <v>230.4</v>
      </c>
      <c r="H662" s="59">
        <f t="shared" si="302"/>
        <v>5.0999999999999943</v>
      </c>
      <c r="I662" s="190">
        <f t="shared" si="295"/>
        <v>97.834394904458605</v>
      </c>
    </row>
    <row r="663" spans="1:9" ht="51">
      <c r="A663" s="16" t="s">
        <v>90</v>
      </c>
      <c r="B663" s="20" t="s">
        <v>65</v>
      </c>
      <c r="C663" s="20" t="s">
        <v>71</v>
      </c>
      <c r="D663" s="97" t="s">
        <v>475</v>
      </c>
      <c r="E663" s="97" t="s">
        <v>91</v>
      </c>
      <c r="F663" s="59">
        <f>F664</f>
        <v>235.5</v>
      </c>
      <c r="G663" s="59">
        <f t="shared" si="302"/>
        <v>230.4</v>
      </c>
      <c r="H663" s="59">
        <f t="shared" si="302"/>
        <v>5.0999999999999943</v>
      </c>
      <c r="I663" s="190">
        <f t="shared" si="295"/>
        <v>97.834394904458605</v>
      </c>
    </row>
    <row r="664" spans="1:9">
      <c r="A664" s="16" t="s">
        <v>206</v>
      </c>
      <c r="B664" s="20" t="s">
        <v>65</v>
      </c>
      <c r="C664" s="20" t="s">
        <v>71</v>
      </c>
      <c r="D664" s="97" t="s">
        <v>475</v>
      </c>
      <c r="E664" s="97" t="s">
        <v>207</v>
      </c>
      <c r="F664" s="59">
        <f>'пр.4 вед.стр.'!G628</f>
        <v>235.5</v>
      </c>
      <c r="G664" s="59">
        <f>'пр.4 вед.стр.'!H628</f>
        <v>230.4</v>
      </c>
      <c r="H664" s="59">
        <f>'пр.4 вед.стр.'!I628</f>
        <v>5.0999999999999943</v>
      </c>
      <c r="I664" s="190">
        <f t="shared" si="295"/>
        <v>97.834394904458605</v>
      </c>
    </row>
    <row r="665" spans="1:9">
      <c r="A665" s="15" t="s">
        <v>120</v>
      </c>
      <c r="B665" s="31" t="s">
        <v>69</v>
      </c>
      <c r="C665" s="31" t="s">
        <v>33</v>
      </c>
      <c r="D665" s="100"/>
      <c r="E665" s="100"/>
      <c r="F665" s="143">
        <f>F666+F730</f>
        <v>44904.2</v>
      </c>
      <c r="G665" s="143">
        <f t="shared" ref="G665:H665" si="303">G666+G730</f>
        <v>43442.9</v>
      </c>
      <c r="H665" s="143">
        <f t="shared" si="303"/>
        <v>1461.2999999999993</v>
      </c>
      <c r="I665" s="190">
        <f t="shared" si="295"/>
        <v>96.745738705956242</v>
      </c>
    </row>
    <row r="666" spans="1:9">
      <c r="A666" s="15" t="s">
        <v>11</v>
      </c>
      <c r="B666" s="31" t="s">
        <v>69</v>
      </c>
      <c r="C666" s="31" t="s">
        <v>62</v>
      </c>
      <c r="D666" s="100"/>
      <c r="E666" s="100"/>
      <c r="F666" s="143">
        <f>F668+F688+F702+F712+F722</f>
        <v>30683.899999999998</v>
      </c>
      <c r="G666" s="143">
        <f t="shared" ref="G666:H666" si="304">G668+G688+G702+G712+G722</f>
        <v>30044.100000000002</v>
      </c>
      <c r="H666" s="143">
        <f t="shared" si="304"/>
        <v>639.79999999999893</v>
      </c>
      <c r="I666" s="190">
        <f t="shared" si="295"/>
        <v>97.914867406033807</v>
      </c>
    </row>
    <row r="667" spans="1:9">
      <c r="A667" s="16" t="s">
        <v>430</v>
      </c>
      <c r="B667" s="20" t="s">
        <v>69</v>
      </c>
      <c r="C667" s="20" t="s">
        <v>62</v>
      </c>
      <c r="D667" s="102" t="s">
        <v>431</v>
      </c>
      <c r="E667" s="97"/>
      <c r="F667" s="59">
        <f>F668+F688</f>
        <v>2106.7999999999997</v>
      </c>
      <c r="G667" s="59">
        <f t="shared" ref="G667:H667" si="305">G668+G688</f>
        <v>2086.8000000000002</v>
      </c>
      <c r="H667" s="59">
        <f t="shared" si="305"/>
        <v>20</v>
      </c>
      <c r="I667" s="190">
        <f t="shared" si="295"/>
        <v>99.050692994114314</v>
      </c>
    </row>
    <row r="668" spans="1:9" ht="25.5">
      <c r="A668" s="28" t="str">
        <f>'пр.4 вед.стр.'!A697</f>
        <v>Муниципальная программа "Развитие культуры в Сусуманском городском округе на 2018- 2022 годы"</v>
      </c>
      <c r="B668" s="20" t="s">
        <v>69</v>
      </c>
      <c r="C668" s="20" t="s">
        <v>62</v>
      </c>
      <c r="D668" s="102" t="str">
        <f>'пр.4 вед.стр.'!E697</f>
        <v xml:space="preserve">7Е 0 00 00000 </v>
      </c>
      <c r="E668" s="97"/>
      <c r="F668" s="59">
        <f>F669+F680+F676+F684</f>
        <v>1693.1</v>
      </c>
      <c r="G668" s="59">
        <f t="shared" ref="G668:H668" si="306">G669+G680+G676+G684</f>
        <v>1693.1000000000001</v>
      </c>
      <c r="H668" s="59">
        <f t="shared" si="306"/>
        <v>0</v>
      </c>
      <c r="I668" s="190">
        <f t="shared" si="295"/>
        <v>100.00000000000003</v>
      </c>
    </row>
    <row r="669" spans="1:9" ht="25.5">
      <c r="A669" s="16" t="str">
        <f>'пр.4 вед.стр.'!A698</f>
        <v>Основное мероприятие "Комплектование книжных фондов библиотек Сусуманского городского округа"</v>
      </c>
      <c r="B669" s="20" t="s">
        <v>69</v>
      </c>
      <c r="C669" s="20" t="s">
        <v>62</v>
      </c>
      <c r="D669" s="102" t="str">
        <f>'пр.4 вед.стр.'!E698</f>
        <v xml:space="preserve">7Е 0 01 00000 </v>
      </c>
      <c r="E669" s="97"/>
      <c r="F669" s="59">
        <f>F670+F673</f>
        <v>51.4</v>
      </c>
      <c r="G669" s="59">
        <f t="shared" ref="G669:H669" si="307">G670+G673</f>
        <v>51.4</v>
      </c>
      <c r="H669" s="59">
        <f t="shared" si="307"/>
        <v>0</v>
      </c>
      <c r="I669" s="190">
        <f t="shared" si="295"/>
        <v>100</v>
      </c>
    </row>
    <row r="670" spans="1:9">
      <c r="A670" s="16" t="str">
        <f>'пр.4 вед.стр.'!A699</f>
        <v>Приобретение литературно- художественных изданий</v>
      </c>
      <c r="B670" s="20" t="s">
        <v>69</v>
      </c>
      <c r="C670" s="20" t="s">
        <v>62</v>
      </c>
      <c r="D670" s="97" t="str">
        <f>'пр.4 вед.стр.'!E699</f>
        <v>7Е 0 01 73160</v>
      </c>
      <c r="E670" s="97"/>
      <c r="F670" s="59">
        <f>F671</f>
        <v>41.4</v>
      </c>
      <c r="G670" s="59">
        <f t="shared" ref="G670:H671" si="308">G671</f>
        <v>41.4</v>
      </c>
      <c r="H670" s="59">
        <f t="shared" si="308"/>
        <v>0</v>
      </c>
      <c r="I670" s="190">
        <f t="shared" si="295"/>
        <v>100</v>
      </c>
    </row>
    <row r="671" spans="1:9" ht="25.5">
      <c r="A671" s="16" t="str">
        <f>'пр.4 вед.стр.'!A700</f>
        <v>Предоставление субсидий бюджетным, автономным учреждениям и иным некоммерческим организациям</v>
      </c>
      <c r="B671" s="20" t="s">
        <v>69</v>
      </c>
      <c r="C671" s="20" t="s">
        <v>62</v>
      </c>
      <c r="D671" s="97" t="str">
        <f>'пр.4 вед.стр.'!E700</f>
        <v>7Е 0 01 73160</v>
      </c>
      <c r="E671" s="97" t="str">
        <f>'пр.4 вед.стр.'!F700</f>
        <v>600</v>
      </c>
      <c r="F671" s="59">
        <f>F672</f>
        <v>41.4</v>
      </c>
      <c r="G671" s="59">
        <f t="shared" si="308"/>
        <v>41.4</v>
      </c>
      <c r="H671" s="59">
        <f t="shared" si="308"/>
        <v>0</v>
      </c>
      <c r="I671" s="190">
        <f t="shared" si="295"/>
        <v>100</v>
      </c>
    </row>
    <row r="672" spans="1:9">
      <c r="A672" s="16" t="str">
        <f>'пр.4 вед.стр.'!A701</f>
        <v>Субсидии бюджетным учреждениям</v>
      </c>
      <c r="B672" s="20" t="s">
        <v>69</v>
      </c>
      <c r="C672" s="20" t="s">
        <v>62</v>
      </c>
      <c r="D672" s="97" t="str">
        <f>'пр.4 вед.стр.'!E701</f>
        <v>7Е 0 01 73160</v>
      </c>
      <c r="E672" s="97" t="str">
        <f>'пр.4 вед.стр.'!F701</f>
        <v>610</v>
      </c>
      <c r="F672" s="59">
        <f>'пр.4 вед.стр.'!G701</f>
        <v>41.4</v>
      </c>
      <c r="G672" s="59">
        <f>'пр.4 вед.стр.'!H701</f>
        <v>41.4</v>
      </c>
      <c r="H672" s="59">
        <f>'пр.4 вед.стр.'!I701</f>
        <v>0</v>
      </c>
      <c r="I672" s="190">
        <f t="shared" si="295"/>
        <v>100</v>
      </c>
    </row>
    <row r="673" spans="1:9" ht="25.5">
      <c r="A673" s="16" t="str">
        <f>'пр.4 вед.стр.'!A702</f>
        <v>Приобретение литературно- художественных изданий за счет средств местного бюджета</v>
      </c>
      <c r="B673" s="20" t="s">
        <v>69</v>
      </c>
      <c r="C673" s="20" t="s">
        <v>62</v>
      </c>
      <c r="D673" s="97" t="str">
        <f>'пр.4 вед.стр.'!E702</f>
        <v>7Е 0 01 S3160</v>
      </c>
      <c r="E673" s="97"/>
      <c r="F673" s="59">
        <f>F674</f>
        <v>10</v>
      </c>
      <c r="G673" s="59">
        <f t="shared" ref="G673:H674" si="309">G674</f>
        <v>10</v>
      </c>
      <c r="H673" s="59">
        <f t="shared" si="309"/>
        <v>0</v>
      </c>
      <c r="I673" s="190">
        <f t="shared" si="295"/>
        <v>100</v>
      </c>
    </row>
    <row r="674" spans="1:9" ht="25.5">
      <c r="A674" s="16" t="str">
        <f>'пр.4 вед.стр.'!A703</f>
        <v>Предоставление субсидий бюджетным, автономным учреждениям и иным некоммерческим организациям</v>
      </c>
      <c r="B674" s="20" t="s">
        <v>69</v>
      </c>
      <c r="C674" s="20" t="s">
        <v>62</v>
      </c>
      <c r="D674" s="97" t="str">
        <f>'пр.4 вед.стр.'!E703</f>
        <v>7Е 0 01 S3160</v>
      </c>
      <c r="E674" s="97" t="str">
        <f>'пр.4 вед.стр.'!F703</f>
        <v>600</v>
      </c>
      <c r="F674" s="59">
        <f>F675</f>
        <v>10</v>
      </c>
      <c r="G674" s="59">
        <f t="shared" si="309"/>
        <v>10</v>
      </c>
      <c r="H674" s="59">
        <f t="shared" si="309"/>
        <v>0</v>
      </c>
      <c r="I674" s="190">
        <f t="shared" si="295"/>
        <v>100</v>
      </c>
    </row>
    <row r="675" spans="1:9">
      <c r="A675" s="16" t="str">
        <f>'пр.4 вед.стр.'!A704</f>
        <v>Субсидии бюджетным учреждениям</v>
      </c>
      <c r="B675" s="20" t="s">
        <v>69</v>
      </c>
      <c r="C675" s="20" t="s">
        <v>62</v>
      </c>
      <c r="D675" s="97" t="str">
        <f>'пр.4 вед.стр.'!E704</f>
        <v>7Е 0 01 S3160</v>
      </c>
      <c r="E675" s="97" t="str">
        <f>'пр.4 вед.стр.'!F704</f>
        <v>610</v>
      </c>
      <c r="F675" s="59">
        <f>'пр.4 вед.стр.'!G704</f>
        <v>10</v>
      </c>
      <c r="G675" s="59">
        <f>'пр.4 вед.стр.'!H704</f>
        <v>10</v>
      </c>
      <c r="H675" s="59">
        <f>'пр.4 вед.стр.'!I704</f>
        <v>0</v>
      </c>
      <c r="I675" s="190">
        <f t="shared" si="295"/>
        <v>100</v>
      </c>
    </row>
    <row r="676" spans="1:9" ht="25.5">
      <c r="A676" s="28" t="str">
        <f>'пр.4 вед.стр.'!A705</f>
        <v>Основное мероприятие "Сохранение культурного наследия и творческого потенциала"</v>
      </c>
      <c r="B676" s="20" t="s">
        <v>69</v>
      </c>
      <c r="C676" s="20" t="s">
        <v>62</v>
      </c>
      <c r="D676" s="102" t="str">
        <f>'пр.4 вед.стр.'!E705</f>
        <v xml:space="preserve">7Е 0 02 00000 </v>
      </c>
      <c r="E676" s="97"/>
      <c r="F676" s="59">
        <f>F677</f>
        <v>74.5</v>
      </c>
      <c r="G676" s="59">
        <f t="shared" ref="G676:H678" si="310">G677</f>
        <v>74.5</v>
      </c>
      <c r="H676" s="59">
        <f t="shared" si="310"/>
        <v>0</v>
      </c>
      <c r="I676" s="190">
        <f t="shared" si="295"/>
        <v>100</v>
      </c>
    </row>
    <row r="677" spans="1:9">
      <c r="A677" s="28" t="str">
        <f>'пр.4 вед.стр.'!A706</f>
        <v>Укрепление материально- технической базы учреждений культуры</v>
      </c>
      <c r="B677" s="20" t="s">
        <v>69</v>
      </c>
      <c r="C677" s="20" t="s">
        <v>62</v>
      </c>
      <c r="D677" s="102" t="str">
        <f>'пр.4 вед.стр.'!E706</f>
        <v xml:space="preserve">7Е 0 02 92510 </v>
      </c>
      <c r="E677" s="97"/>
      <c r="F677" s="59">
        <f>F678</f>
        <v>74.5</v>
      </c>
      <c r="G677" s="59">
        <f t="shared" si="310"/>
        <v>74.5</v>
      </c>
      <c r="H677" s="59">
        <f t="shared" si="310"/>
        <v>0</v>
      </c>
      <c r="I677" s="190">
        <f t="shared" si="295"/>
        <v>100</v>
      </c>
    </row>
    <row r="678" spans="1:9" ht="25.5">
      <c r="A678" s="28" t="str">
        <f>'пр.4 вед.стр.'!A707</f>
        <v>Предоставление субсидий бюджетным, автономным учреждениям и иным некоммерческим организациям</v>
      </c>
      <c r="B678" s="20" t="s">
        <v>69</v>
      </c>
      <c r="C678" s="20" t="s">
        <v>62</v>
      </c>
      <c r="D678" s="102" t="str">
        <f>'пр.4 вед.стр.'!E707</f>
        <v xml:space="preserve">7Е 0 02 92510 </v>
      </c>
      <c r="E678" s="97" t="str">
        <f>'пр.4 вед.стр.'!F707</f>
        <v>600</v>
      </c>
      <c r="F678" s="59">
        <f>F679</f>
        <v>74.5</v>
      </c>
      <c r="G678" s="59">
        <f t="shared" si="310"/>
        <v>74.5</v>
      </c>
      <c r="H678" s="59">
        <f t="shared" si="310"/>
        <v>0</v>
      </c>
      <c r="I678" s="190">
        <f t="shared" si="295"/>
        <v>100</v>
      </c>
    </row>
    <row r="679" spans="1:9">
      <c r="A679" s="28" t="str">
        <f>'пр.4 вед.стр.'!A708</f>
        <v>Субсидии бюджетным учреждениям</v>
      </c>
      <c r="B679" s="20" t="s">
        <v>69</v>
      </c>
      <c r="C679" s="20" t="s">
        <v>62</v>
      </c>
      <c r="D679" s="102" t="str">
        <f>'пр.4 вед.стр.'!E708</f>
        <v xml:space="preserve">7Е 0 02 92510 </v>
      </c>
      <c r="E679" s="97" t="str">
        <f>'пр.4 вед.стр.'!F708</f>
        <v>610</v>
      </c>
      <c r="F679" s="59">
        <f>'пр.4 вед.стр.'!G708</f>
        <v>74.5</v>
      </c>
      <c r="G679" s="59">
        <f>'пр.4 вед.стр.'!H708</f>
        <v>74.5</v>
      </c>
      <c r="H679" s="59">
        <f>'пр.4 вед.стр.'!I708</f>
        <v>0</v>
      </c>
      <c r="I679" s="190">
        <f t="shared" si="295"/>
        <v>100</v>
      </c>
    </row>
    <row r="680" spans="1:9" ht="38.25">
      <c r="A680" s="16" t="str">
        <f>'пр.4 вед.стр.'!A709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80" s="20" t="s">
        <v>69</v>
      </c>
      <c r="C680" s="20" t="s">
        <v>62</v>
      </c>
      <c r="D680" s="102" t="str">
        <f>'пр.4 вед.стр.'!E709</f>
        <v xml:space="preserve">7Е 0 03 00000 </v>
      </c>
      <c r="E680" s="97"/>
      <c r="F680" s="59">
        <f>F681</f>
        <v>1317.1999999999998</v>
      </c>
      <c r="G680" s="59">
        <f t="shared" ref="G680:H682" si="311">G681</f>
        <v>1317.2</v>
      </c>
      <c r="H680" s="59">
        <f t="shared" si="311"/>
        <v>0</v>
      </c>
      <c r="I680" s="190">
        <f t="shared" si="295"/>
        <v>100.00000000000003</v>
      </c>
    </row>
    <row r="681" spans="1:9" ht="38.25">
      <c r="A681" s="16" t="str">
        <f>'пр.4 вед.стр.'!A710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81" s="20" t="s">
        <v>69</v>
      </c>
      <c r="C681" s="20" t="s">
        <v>62</v>
      </c>
      <c r="D681" s="102" t="str">
        <f>'пр.4 вед.стр.'!E710</f>
        <v xml:space="preserve">7Е 0 03 75010 </v>
      </c>
      <c r="E681" s="97"/>
      <c r="F681" s="59">
        <f>F682</f>
        <v>1317.1999999999998</v>
      </c>
      <c r="G681" s="59">
        <f t="shared" si="311"/>
        <v>1317.2</v>
      </c>
      <c r="H681" s="59">
        <f t="shared" si="311"/>
        <v>0</v>
      </c>
      <c r="I681" s="190">
        <f t="shared" si="295"/>
        <v>100.00000000000003</v>
      </c>
    </row>
    <row r="682" spans="1:9" ht="25.5">
      <c r="A682" s="16" t="str">
        <f>'пр.4 вед.стр.'!A711</f>
        <v>Предоставление субсидий бюджетным, автономным учреждениям и иным некоммерческим организациям</v>
      </c>
      <c r="B682" s="20" t="s">
        <v>69</v>
      </c>
      <c r="C682" s="20" t="s">
        <v>62</v>
      </c>
      <c r="D682" s="102" t="str">
        <f>'пр.4 вед.стр.'!E711</f>
        <v xml:space="preserve">7Е 0 03 75010 </v>
      </c>
      <c r="E682" s="97" t="str">
        <f>'пр.4 вед.стр.'!F711</f>
        <v>600</v>
      </c>
      <c r="F682" s="59">
        <f>F683</f>
        <v>1317.1999999999998</v>
      </c>
      <c r="G682" s="59">
        <f t="shared" si="311"/>
        <v>1317.2</v>
      </c>
      <c r="H682" s="59">
        <f t="shared" si="311"/>
        <v>0</v>
      </c>
      <c r="I682" s="190">
        <f t="shared" si="295"/>
        <v>100.00000000000003</v>
      </c>
    </row>
    <row r="683" spans="1:9">
      <c r="A683" s="16" t="str">
        <f>'пр.4 вед.стр.'!A712</f>
        <v>Субсидии бюджетным учреждениям</v>
      </c>
      <c r="B683" s="20" t="s">
        <v>69</v>
      </c>
      <c r="C683" s="20" t="s">
        <v>62</v>
      </c>
      <c r="D683" s="102" t="str">
        <f>'пр.4 вед.стр.'!E712</f>
        <v xml:space="preserve">7Е 0 03 75010 </v>
      </c>
      <c r="E683" s="97" t="str">
        <f>'пр.4 вед.стр.'!F712</f>
        <v>610</v>
      </c>
      <c r="F683" s="59">
        <f>'пр.4 вед.стр.'!G712</f>
        <v>1317.1999999999998</v>
      </c>
      <c r="G683" s="59">
        <f>'пр.4 вед.стр.'!H712</f>
        <v>1317.2</v>
      </c>
      <c r="H683" s="59">
        <f>'пр.4 вед.стр.'!I712</f>
        <v>0</v>
      </c>
      <c r="I683" s="190">
        <f t="shared" si="295"/>
        <v>100.00000000000003</v>
      </c>
    </row>
    <row r="684" spans="1:9" ht="25.5">
      <c r="A684" s="16" t="str">
        <f>'пр.4 вед.стр.'!A713</f>
        <v>Основное мероприятие "Формирование доступной среды в учреждениях культуры и искусства"</v>
      </c>
      <c r="B684" s="20" t="s">
        <v>69</v>
      </c>
      <c r="C684" s="20" t="s">
        <v>62</v>
      </c>
      <c r="D684" s="102" t="str">
        <f>'пр.4 вед.стр.'!E713</f>
        <v xml:space="preserve">7Е 0 04 00000 </v>
      </c>
      <c r="E684" s="97"/>
      <c r="F684" s="59">
        <f>F685</f>
        <v>250</v>
      </c>
      <c r="G684" s="59">
        <f t="shared" ref="G684:H686" si="312">G685</f>
        <v>250</v>
      </c>
      <c r="H684" s="59">
        <f t="shared" si="312"/>
        <v>0</v>
      </c>
      <c r="I684" s="190">
        <f t="shared" si="295"/>
        <v>100</v>
      </c>
    </row>
    <row r="685" spans="1:9" ht="25.5">
      <c r="A685" s="16" t="str">
        <f>'пр.4 вед.стр.'!A714</f>
        <v>Адаптация социально- значимых объектов для инвалидов и маломобильных групп населения</v>
      </c>
      <c r="B685" s="20" t="s">
        <v>69</v>
      </c>
      <c r="C685" s="20" t="s">
        <v>62</v>
      </c>
      <c r="D685" s="102" t="str">
        <f>'пр.4 вед.стр.'!E714</f>
        <v xml:space="preserve">7Е 0 04 91500 </v>
      </c>
      <c r="E685" s="97"/>
      <c r="F685" s="59">
        <f>F686</f>
        <v>250</v>
      </c>
      <c r="G685" s="59">
        <f t="shared" si="312"/>
        <v>250</v>
      </c>
      <c r="H685" s="59">
        <f t="shared" si="312"/>
        <v>0</v>
      </c>
      <c r="I685" s="190">
        <f t="shared" si="295"/>
        <v>100</v>
      </c>
    </row>
    <row r="686" spans="1:9" ht="25.5">
      <c r="A686" s="16" t="str">
        <f>'пр.4 вед.стр.'!A715</f>
        <v>Предоставление субсидий бюджетным, автономным учреждениям и иным некоммерческим организациям</v>
      </c>
      <c r="B686" s="20" t="s">
        <v>69</v>
      </c>
      <c r="C686" s="20" t="s">
        <v>62</v>
      </c>
      <c r="D686" s="102" t="str">
        <f>'пр.4 вед.стр.'!E715</f>
        <v xml:space="preserve">7Е 0 04 91500 </v>
      </c>
      <c r="E686" s="97" t="str">
        <f>'пр.4 вед.стр.'!F715</f>
        <v>600</v>
      </c>
      <c r="F686" s="59">
        <f>F687</f>
        <v>250</v>
      </c>
      <c r="G686" s="59">
        <f t="shared" si="312"/>
        <v>250</v>
      </c>
      <c r="H686" s="59">
        <f t="shared" si="312"/>
        <v>0</v>
      </c>
      <c r="I686" s="190">
        <f t="shared" si="295"/>
        <v>100</v>
      </c>
    </row>
    <row r="687" spans="1:9">
      <c r="A687" s="16" t="str">
        <f>'пр.4 вед.стр.'!A716</f>
        <v>Субсидии бюджетным учреждениям</v>
      </c>
      <c r="B687" s="20" t="s">
        <v>69</v>
      </c>
      <c r="C687" s="20" t="s">
        <v>62</v>
      </c>
      <c r="D687" s="102" t="str">
        <f>'пр.4 вед.стр.'!E716</f>
        <v xml:space="preserve">7Е 0 04 91500 </v>
      </c>
      <c r="E687" s="97" t="str">
        <f>'пр.4 вед.стр.'!F716</f>
        <v>610</v>
      </c>
      <c r="F687" s="59">
        <f>'пр.4 вед.стр.'!G716</f>
        <v>250</v>
      </c>
      <c r="G687" s="59">
        <f>'пр.4 вед.стр.'!H716</f>
        <v>250</v>
      </c>
      <c r="H687" s="59">
        <f>'пр.4 вед.стр.'!I716</f>
        <v>0</v>
      </c>
      <c r="I687" s="190">
        <f t="shared" si="295"/>
        <v>100</v>
      </c>
    </row>
    <row r="688" spans="1:9" ht="25.5">
      <c r="A688" s="28" t="str">
        <f>'пр.4 вед.стр.'!A717</f>
        <v>Муниципальная программа  "Пожарная безопасность в Сусуманском городском округе на 2018- 2022 годы"</v>
      </c>
      <c r="B688" s="20" t="s">
        <v>69</v>
      </c>
      <c r="C688" s="20" t="s">
        <v>62</v>
      </c>
      <c r="D688" s="102" t="str">
        <f>'пр.4 вед.стр.'!E717</f>
        <v xml:space="preserve">7П 0 00 00000 </v>
      </c>
      <c r="E688" s="97"/>
      <c r="F688" s="59">
        <f>F689</f>
        <v>413.7</v>
      </c>
      <c r="G688" s="59">
        <f t="shared" ref="G688:H688" si="313">G689</f>
        <v>393.7</v>
      </c>
      <c r="H688" s="59">
        <f t="shared" si="313"/>
        <v>20</v>
      </c>
      <c r="I688" s="190">
        <f t="shared" si="295"/>
        <v>95.165578921924094</v>
      </c>
    </row>
    <row r="689" spans="1:9" ht="38.25">
      <c r="A689" s="28" t="str">
        <f>'пр.4 вед.стр.'!A718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89" s="20" t="s">
        <v>69</v>
      </c>
      <c r="C689" s="20" t="s">
        <v>62</v>
      </c>
      <c r="D689" s="102" t="str">
        <f>'пр.4 вед.стр.'!E718</f>
        <v xml:space="preserve">7П 0 01 00000 </v>
      </c>
      <c r="E689" s="97"/>
      <c r="F689" s="59">
        <f>F690+F693+F696+F699</f>
        <v>413.7</v>
      </c>
      <c r="G689" s="59">
        <f t="shared" ref="G689:H689" si="314">G690+G693+G696+G699</f>
        <v>393.7</v>
      </c>
      <c r="H689" s="59">
        <f t="shared" si="314"/>
        <v>20</v>
      </c>
      <c r="I689" s="190">
        <f t="shared" si="295"/>
        <v>95.165578921924094</v>
      </c>
    </row>
    <row r="690" spans="1:9" ht="38.25">
      <c r="A690" s="28" t="str">
        <f>'пр.4 вед.стр.'!A719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90" s="20" t="s">
        <v>69</v>
      </c>
      <c r="C690" s="20" t="s">
        <v>62</v>
      </c>
      <c r="D690" s="102" t="str">
        <f>'пр.4 вед.стр.'!E719</f>
        <v xml:space="preserve">7П 0 01 94100 </v>
      </c>
      <c r="E690" s="97"/>
      <c r="F690" s="59">
        <f>F691</f>
        <v>295</v>
      </c>
      <c r="G690" s="59">
        <f t="shared" ref="G690:H691" si="315">G691</f>
        <v>275</v>
      </c>
      <c r="H690" s="59">
        <f t="shared" si="315"/>
        <v>20</v>
      </c>
      <c r="I690" s="190">
        <f t="shared" si="295"/>
        <v>93.220338983050837</v>
      </c>
    </row>
    <row r="691" spans="1:9" ht="25.5">
      <c r="A691" s="28" t="str">
        <f>'пр.4 вед.стр.'!A720</f>
        <v>Предоставление субсидий бюджетным, автономным учреждениям и иным некоммерческим организациям</v>
      </c>
      <c r="B691" s="20" t="s">
        <v>69</v>
      </c>
      <c r="C691" s="20" t="s">
        <v>62</v>
      </c>
      <c r="D691" s="102" t="str">
        <f>'пр.4 вед.стр.'!E720</f>
        <v xml:space="preserve">7П 0 01 94100 </v>
      </c>
      <c r="E691" s="97" t="str">
        <f>'пр.4 вед.стр.'!F720</f>
        <v>600</v>
      </c>
      <c r="F691" s="59">
        <f>F692</f>
        <v>295</v>
      </c>
      <c r="G691" s="59">
        <f t="shared" si="315"/>
        <v>275</v>
      </c>
      <c r="H691" s="59">
        <f t="shared" si="315"/>
        <v>20</v>
      </c>
      <c r="I691" s="190">
        <f t="shared" si="295"/>
        <v>93.220338983050837</v>
      </c>
    </row>
    <row r="692" spans="1:9">
      <c r="A692" s="28" t="str">
        <f>'пр.4 вед.стр.'!A721</f>
        <v>Субсидии бюджетным учреждениям</v>
      </c>
      <c r="B692" s="20" t="s">
        <v>69</v>
      </c>
      <c r="C692" s="20" t="s">
        <v>62</v>
      </c>
      <c r="D692" s="102" t="str">
        <f>'пр.4 вед.стр.'!E721</f>
        <v xml:space="preserve">7П 0 01 94100 </v>
      </c>
      <c r="E692" s="97" t="str">
        <f>'пр.4 вед.стр.'!F721</f>
        <v>610</v>
      </c>
      <c r="F692" s="59">
        <f>'пр.4 вед.стр.'!G721</f>
        <v>295</v>
      </c>
      <c r="G692" s="59">
        <f>'пр.4 вед.стр.'!H721</f>
        <v>275</v>
      </c>
      <c r="H692" s="59">
        <f>'пр.4 вед.стр.'!I721</f>
        <v>20</v>
      </c>
      <c r="I692" s="190">
        <f t="shared" si="295"/>
        <v>93.220338983050837</v>
      </c>
    </row>
    <row r="693" spans="1:9">
      <c r="A693" s="28" t="str">
        <f>'пр.4 вед.стр.'!A722</f>
        <v>Обработка сгораемых конструкций огнезащитными составами</v>
      </c>
      <c r="B693" s="20" t="s">
        <v>69</v>
      </c>
      <c r="C693" s="20" t="s">
        <v>62</v>
      </c>
      <c r="D693" s="102" t="str">
        <f>'пр.4 вед.стр.'!E722</f>
        <v xml:space="preserve">7П 0 01 94200 </v>
      </c>
      <c r="E693" s="97"/>
      <c r="F693" s="59">
        <f>F694</f>
        <v>80</v>
      </c>
      <c r="G693" s="59">
        <f t="shared" ref="G693:H694" si="316">G694</f>
        <v>80</v>
      </c>
      <c r="H693" s="59">
        <f t="shared" si="316"/>
        <v>0</v>
      </c>
      <c r="I693" s="190">
        <f t="shared" si="295"/>
        <v>100</v>
      </c>
    </row>
    <row r="694" spans="1:9" ht="25.5">
      <c r="A694" s="28" t="str">
        <f>'пр.4 вед.стр.'!A723</f>
        <v>Предоставление субсидий бюджетным, автономным учреждениям и иным некоммерческим организациям</v>
      </c>
      <c r="B694" s="20" t="s">
        <v>69</v>
      </c>
      <c r="C694" s="20" t="s">
        <v>62</v>
      </c>
      <c r="D694" s="102" t="str">
        <f>'пр.4 вед.стр.'!E723</f>
        <v xml:space="preserve">7П 0 01 94200 </v>
      </c>
      <c r="E694" s="97" t="str">
        <f>'пр.4 вед.стр.'!F723</f>
        <v>600</v>
      </c>
      <c r="F694" s="59">
        <f>F695</f>
        <v>80</v>
      </c>
      <c r="G694" s="59">
        <f t="shared" si="316"/>
        <v>80</v>
      </c>
      <c r="H694" s="59">
        <f t="shared" si="316"/>
        <v>0</v>
      </c>
      <c r="I694" s="190">
        <f t="shared" si="295"/>
        <v>100</v>
      </c>
    </row>
    <row r="695" spans="1:9">
      <c r="A695" s="28" t="str">
        <f>'пр.4 вед.стр.'!A724</f>
        <v>Субсидии бюджетным учреждениям</v>
      </c>
      <c r="B695" s="20" t="s">
        <v>69</v>
      </c>
      <c r="C695" s="20" t="s">
        <v>62</v>
      </c>
      <c r="D695" s="102" t="str">
        <f>'пр.4 вед.стр.'!E724</f>
        <v xml:space="preserve">7П 0 01 94200 </v>
      </c>
      <c r="E695" s="97" t="str">
        <f>'пр.4 вед.стр.'!F724</f>
        <v>610</v>
      </c>
      <c r="F695" s="59">
        <f>'пр.4 вед.стр.'!G724</f>
        <v>80</v>
      </c>
      <c r="G695" s="59">
        <f>'пр.4 вед.стр.'!H724</f>
        <v>80</v>
      </c>
      <c r="H695" s="59">
        <f>'пр.4 вед.стр.'!I724</f>
        <v>0</v>
      </c>
      <c r="I695" s="190">
        <f t="shared" si="295"/>
        <v>100</v>
      </c>
    </row>
    <row r="696" spans="1:9" ht="25.5">
      <c r="A696" s="28" t="str">
        <f>'пр.4 вед.стр.'!A725</f>
        <v>Приобретение и заправка огнетушителей, средств индивидуальной защиты</v>
      </c>
      <c r="B696" s="20" t="s">
        <v>69</v>
      </c>
      <c r="C696" s="20" t="s">
        <v>62</v>
      </c>
      <c r="D696" s="102" t="str">
        <f>'пр.4 вед.стр.'!E725</f>
        <v xml:space="preserve">7П 0 01 94300 </v>
      </c>
      <c r="E696" s="97"/>
      <c r="F696" s="59">
        <f>F697</f>
        <v>18.7</v>
      </c>
      <c r="G696" s="59">
        <f t="shared" ref="G696:H697" si="317">G697</f>
        <v>18.7</v>
      </c>
      <c r="H696" s="59">
        <f t="shared" si="317"/>
        <v>0</v>
      </c>
      <c r="I696" s="190">
        <f t="shared" si="295"/>
        <v>100</v>
      </c>
    </row>
    <row r="697" spans="1:9" ht="25.5">
      <c r="A697" s="28" t="str">
        <f>'пр.4 вед.стр.'!A726</f>
        <v>Предоставление субсидий бюджетным, автономным учреждениям и иным некоммерческим организациям</v>
      </c>
      <c r="B697" s="20" t="s">
        <v>69</v>
      </c>
      <c r="C697" s="20" t="s">
        <v>62</v>
      </c>
      <c r="D697" s="102" t="str">
        <f>'пр.4 вед.стр.'!E726</f>
        <v xml:space="preserve">7П 0 01 94300 </v>
      </c>
      <c r="E697" s="97" t="str">
        <f>'пр.4 вед.стр.'!F726</f>
        <v>600</v>
      </c>
      <c r="F697" s="59">
        <f>F698</f>
        <v>18.7</v>
      </c>
      <c r="G697" s="59">
        <f t="shared" si="317"/>
        <v>18.7</v>
      </c>
      <c r="H697" s="59">
        <f t="shared" si="317"/>
        <v>0</v>
      </c>
      <c r="I697" s="190">
        <f t="shared" si="295"/>
        <v>100</v>
      </c>
    </row>
    <row r="698" spans="1:9">
      <c r="A698" s="28" t="str">
        <f>'пр.4 вед.стр.'!A727</f>
        <v>Субсидии бюджетным учреждениям</v>
      </c>
      <c r="B698" s="20" t="s">
        <v>69</v>
      </c>
      <c r="C698" s="20" t="s">
        <v>62</v>
      </c>
      <c r="D698" s="102" t="str">
        <f>'пр.4 вед.стр.'!E727</f>
        <v xml:space="preserve">7П 0 01 94300 </v>
      </c>
      <c r="E698" s="97" t="str">
        <f>'пр.4 вед.стр.'!F727</f>
        <v>610</v>
      </c>
      <c r="F698" s="59">
        <f>'пр.4 вед.стр.'!G727</f>
        <v>18.7</v>
      </c>
      <c r="G698" s="59">
        <f>'пр.4 вед.стр.'!H727</f>
        <v>18.7</v>
      </c>
      <c r="H698" s="59">
        <f>'пр.4 вед.стр.'!I727</f>
        <v>0</v>
      </c>
      <c r="I698" s="190">
        <f t="shared" si="295"/>
        <v>100</v>
      </c>
    </row>
    <row r="699" spans="1:9" ht="25.5">
      <c r="A699" s="28" t="str">
        <f>'пр.4 вед.стр.'!A728</f>
        <v>Проведение проверок исправности и ремонт систем противопожарного водоснабжения, приобретение и обслуживание гидрантов</v>
      </c>
      <c r="B699" s="20" t="s">
        <v>69</v>
      </c>
      <c r="C699" s="20" t="s">
        <v>62</v>
      </c>
      <c r="D699" s="102" t="str">
        <f>'пр.4 вед.стр.'!E728</f>
        <v xml:space="preserve">7П 0 01 94500 </v>
      </c>
      <c r="E699" s="97"/>
      <c r="F699" s="59">
        <f>F700</f>
        <v>20</v>
      </c>
      <c r="G699" s="59">
        <f t="shared" ref="G699:H700" si="318">G700</f>
        <v>20</v>
      </c>
      <c r="H699" s="59">
        <f t="shared" si="318"/>
        <v>0</v>
      </c>
      <c r="I699" s="190">
        <f t="shared" si="295"/>
        <v>100</v>
      </c>
    </row>
    <row r="700" spans="1:9" ht="25.5">
      <c r="A700" s="28" t="str">
        <f>'пр.4 вед.стр.'!A729</f>
        <v>Предоставление субсидий бюджетным, автономным учреждениям и иным некоммерческим организациям</v>
      </c>
      <c r="B700" s="20" t="s">
        <v>69</v>
      </c>
      <c r="C700" s="20" t="s">
        <v>62</v>
      </c>
      <c r="D700" s="102" t="str">
        <f>'пр.4 вед.стр.'!E729</f>
        <v xml:space="preserve">7П 0 01 94500 </v>
      </c>
      <c r="E700" s="97" t="str">
        <f>'пр.4 вед.стр.'!F729</f>
        <v>600</v>
      </c>
      <c r="F700" s="59">
        <f>F701</f>
        <v>20</v>
      </c>
      <c r="G700" s="59">
        <f t="shared" si="318"/>
        <v>20</v>
      </c>
      <c r="H700" s="59">
        <f t="shared" si="318"/>
        <v>0</v>
      </c>
      <c r="I700" s="190">
        <f t="shared" si="295"/>
        <v>100</v>
      </c>
    </row>
    <row r="701" spans="1:9">
      <c r="A701" s="28" t="str">
        <f>'пр.4 вед.стр.'!A730</f>
        <v>Субсидии бюджетным учреждениям</v>
      </c>
      <c r="B701" s="20" t="s">
        <v>69</v>
      </c>
      <c r="C701" s="20" t="s">
        <v>62</v>
      </c>
      <c r="D701" s="102" t="str">
        <f>'пр.4 вед.стр.'!E730</f>
        <v xml:space="preserve">7П 0 01 94500 </v>
      </c>
      <c r="E701" s="97" t="str">
        <f>'пр.4 вед.стр.'!F730</f>
        <v>610</v>
      </c>
      <c r="F701" s="59">
        <f>'пр.4 вед.стр.'!G730</f>
        <v>20</v>
      </c>
      <c r="G701" s="59">
        <f>'пр.4 вед.стр.'!H730</f>
        <v>20</v>
      </c>
      <c r="H701" s="59">
        <f>'пр.4 вед.стр.'!I730</f>
        <v>0</v>
      </c>
      <c r="I701" s="190">
        <f t="shared" si="295"/>
        <v>100</v>
      </c>
    </row>
    <row r="702" spans="1:9">
      <c r="A702" s="16" t="s">
        <v>134</v>
      </c>
      <c r="B702" s="20" t="s">
        <v>69</v>
      </c>
      <c r="C702" s="20" t="s">
        <v>62</v>
      </c>
      <c r="D702" s="97" t="s">
        <v>479</v>
      </c>
      <c r="E702" s="97"/>
      <c r="F702" s="59">
        <f>F703+F706+F709</f>
        <v>11580</v>
      </c>
      <c r="G702" s="59">
        <f t="shared" ref="G702:H702" si="319">G703+G706+G709</f>
        <v>11461.699999999999</v>
      </c>
      <c r="H702" s="59">
        <f t="shared" si="319"/>
        <v>118.30000000000109</v>
      </c>
      <c r="I702" s="190">
        <f t="shared" si="295"/>
        <v>98.978411053540583</v>
      </c>
    </row>
    <row r="703" spans="1:9" ht="25.5">
      <c r="A703" s="16" t="s">
        <v>183</v>
      </c>
      <c r="B703" s="20" t="s">
        <v>69</v>
      </c>
      <c r="C703" s="20" t="s">
        <v>62</v>
      </c>
      <c r="D703" s="97" t="s">
        <v>480</v>
      </c>
      <c r="E703" s="97"/>
      <c r="F703" s="59">
        <f>F704</f>
        <v>11391.7</v>
      </c>
      <c r="G703" s="59">
        <f t="shared" ref="G703:H704" si="320">G704</f>
        <v>11285.4</v>
      </c>
      <c r="H703" s="59">
        <f t="shared" si="320"/>
        <v>106.30000000000109</v>
      </c>
      <c r="I703" s="190">
        <f t="shared" si="295"/>
        <v>99.066864471501177</v>
      </c>
    </row>
    <row r="704" spans="1:9" ht="25.5">
      <c r="A704" s="16" t="s">
        <v>93</v>
      </c>
      <c r="B704" s="20" t="s">
        <v>69</v>
      </c>
      <c r="C704" s="20" t="s">
        <v>62</v>
      </c>
      <c r="D704" s="97" t="s">
        <v>480</v>
      </c>
      <c r="E704" s="97" t="s">
        <v>94</v>
      </c>
      <c r="F704" s="59">
        <f>F705</f>
        <v>11391.7</v>
      </c>
      <c r="G704" s="59">
        <f t="shared" si="320"/>
        <v>11285.4</v>
      </c>
      <c r="H704" s="59">
        <f t="shared" si="320"/>
        <v>106.30000000000109</v>
      </c>
      <c r="I704" s="190">
        <f t="shared" si="295"/>
        <v>99.066864471501177</v>
      </c>
    </row>
    <row r="705" spans="1:9">
      <c r="A705" s="16" t="s">
        <v>97</v>
      </c>
      <c r="B705" s="20" t="s">
        <v>69</v>
      </c>
      <c r="C705" s="20" t="s">
        <v>62</v>
      </c>
      <c r="D705" s="97" t="s">
        <v>480</v>
      </c>
      <c r="E705" s="97" t="s">
        <v>98</v>
      </c>
      <c r="F705" s="59">
        <f>'пр.4 вед.стр.'!G734</f>
        <v>11391.7</v>
      </c>
      <c r="G705" s="59">
        <f>'пр.4 вед.стр.'!H734</f>
        <v>11285.4</v>
      </c>
      <c r="H705" s="59">
        <f>'пр.4 вед.стр.'!I734</f>
        <v>106.30000000000109</v>
      </c>
      <c r="I705" s="190">
        <f t="shared" si="295"/>
        <v>99.066864471501177</v>
      </c>
    </row>
    <row r="706" spans="1:9" ht="51">
      <c r="A706" s="16" t="s">
        <v>202</v>
      </c>
      <c r="B706" s="20" t="s">
        <v>69</v>
      </c>
      <c r="C706" s="20" t="s">
        <v>62</v>
      </c>
      <c r="D706" s="97" t="s">
        <v>481</v>
      </c>
      <c r="E706" s="97"/>
      <c r="F706" s="59">
        <f>F707</f>
        <v>176.3</v>
      </c>
      <c r="G706" s="59">
        <f t="shared" ref="G706:H707" si="321">G707</f>
        <v>176.3</v>
      </c>
      <c r="H706" s="59">
        <f t="shared" si="321"/>
        <v>0</v>
      </c>
      <c r="I706" s="190">
        <f t="shared" si="295"/>
        <v>100</v>
      </c>
    </row>
    <row r="707" spans="1:9" ht="25.5">
      <c r="A707" s="16" t="s">
        <v>93</v>
      </c>
      <c r="B707" s="20" t="s">
        <v>69</v>
      </c>
      <c r="C707" s="20" t="s">
        <v>62</v>
      </c>
      <c r="D707" s="97" t="s">
        <v>481</v>
      </c>
      <c r="E707" s="97" t="s">
        <v>94</v>
      </c>
      <c r="F707" s="59">
        <f>F708</f>
        <v>176.3</v>
      </c>
      <c r="G707" s="59">
        <f t="shared" si="321"/>
        <v>176.3</v>
      </c>
      <c r="H707" s="59">
        <f t="shared" si="321"/>
        <v>0</v>
      </c>
      <c r="I707" s="190">
        <f t="shared" si="295"/>
        <v>100</v>
      </c>
    </row>
    <row r="708" spans="1:9">
      <c r="A708" s="16" t="s">
        <v>97</v>
      </c>
      <c r="B708" s="20" t="s">
        <v>69</v>
      </c>
      <c r="C708" s="20" t="s">
        <v>62</v>
      </c>
      <c r="D708" s="97" t="s">
        <v>481</v>
      </c>
      <c r="E708" s="97" t="s">
        <v>98</v>
      </c>
      <c r="F708" s="59">
        <f>'пр.4 вед.стр.'!G737</f>
        <v>176.3</v>
      </c>
      <c r="G708" s="59">
        <f>'пр.4 вед.стр.'!H737</f>
        <v>176.3</v>
      </c>
      <c r="H708" s="59">
        <f>'пр.4 вед.стр.'!I737</f>
        <v>0</v>
      </c>
      <c r="I708" s="190">
        <f t="shared" si="295"/>
        <v>100</v>
      </c>
    </row>
    <row r="709" spans="1:9">
      <c r="A709" s="16" t="s">
        <v>174</v>
      </c>
      <c r="B709" s="20" t="s">
        <v>69</v>
      </c>
      <c r="C709" s="20" t="s">
        <v>62</v>
      </c>
      <c r="D709" s="97" t="s">
        <v>482</v>
      </c>
      <c r="E709" s="97"/>
      <c r="F709" s="59">
        <f>F710</f>
        <v>12</v>
      </c>
      <c r="G709" s="59">
        <f t="shared" ref="G709:H710" si="322">G710</f>
        <v>0</v>
      </c>
      <c r="H709" s="59">
        <f t="shared" si="322"/>
        <v>12</v>
      </c>
      <c r="I709" s="190">
        <f t="shared" si="295"/>
        <v>0</v>
      </c>
    </row>
    <row r="710" spans="1:9" ht="25.5">
      <c r="A710" s="16" t="s">
        <v>93</v>
      </c>
      <c r="B710" s="20" t="s">
        <v>69</v>
      </c>
      <c r="C710" s="20" t="s">
        <v>62</v>
      </c>
      <c r="D710" s="97" t="s">
        <v>482</v>
      </c>
      <c r="E710" s="97" t="s">
        <v>94</v>
      </c>
      <c r="F710" s="59">
        <f>F711</f>
        <v>12</v>
      </c>
      <c r="G710" s="59">
        <f t="shared" si="322"/>
        <v>0</v>
      </c>
      <c r="H710" s="59">
        <f t="shared" si="322"/>
        <v>12</v>
      </c>
      <c r="I710" s="190">
        <f t="shared" si="295"/>
        <v>0</v>
      </c>
    </row>
    <row r="711" spans="1:9">
      <c r="A711" s="16" t="s">
        <v>97</v>
      </c>
      <c r="B711" s="20" t="s">
        <v>69</v>
      </c>
      <c r="C711" s="20" t="s">
        <v>62</v>
      </c>
      <c r="D711" s="97" t="s">
        <v>482</v>
      </c>
      <c r="E711" s="97" t="s">
        <v>98</v>
      </c>
      <c r="F711" s="59">
        <f>'пр.4 вед.стр.'!G740</f>
        <v>12</v>
      </c>
      <c r="G711" s="59">
        <f>'пр.4 вед.стр.'!H740</f>
        <v>0</v>
      </c>
      <c r="H711" s="59">
        <f>'пр.4 вед.стр.'!I740</f>
        <v>12</v>
      </c>
      <c r="I711" s="190">
        <f t="shared" si="295"/>
        <v>0</v>
      </c>
    </row>
    <row r="712" spans="1:9" ht="25.5">
      <c r="A712" s="16" t="s">
        <v>483</v>
      </c>
      <c r="B712" s="20" t="s">
        <v>69</v>
      </c>
      <c r="C712" s="20" t="s">
        <v>62</v>
      </c>
      <c r="D712" s="97" t="s">
        <v>484</v>
      </c>
      <c r="E712" s="97"/>
      <c r="F712" s="59">
        <f>F713+F716+F719</f>
        <v>15716.399999999998</v>
      </c>
      <c r="G712" s="59">
        <f t="shared" ref="G712:H712" si="323">G713+G716+G719</f>
        <v>15214.900000000001</v>
      </c>
      <c r="H712" s="59">
        <f t="shared" si="323"/>
        <v>501.49999999999784</v>
      </c>
      <c r="I712" s="190">
        <f t="shared" si="295"/>
        <v>96.80906568934364</v>
      </c>
    </row>
    <row r="713" spans="1:9" ht="25.5">
      <c r="A713" s="16" t="s">
        <v>183</v>
      </c>
      <c r="B713" s="20" t="s">
        <v>69</v>
      </c>
      <c r="C713" s="20" t="s">
        <v>62</v>
      </c>
      <c r="D713" s="97" t="s">
        <v>485</v>
      </c>
      <c r="E713" s="97"/>
      <c r="F713" s="59">
        <f>F714</f>
        <v>15555.099999999999</v>
      </c>
      <c r="G713" s="59">
        <f t="shared" ref="G713:H714" si="324">G714</f>
        <v>15126.7</v>
      </c>
      <c r="H713" s="59">
        <f t="shared" si="324"/>
        <v>428.39999999999782</v>
      </c>
      <c r="I713" s="190">
        <f t="shared" si="295"/>
        <v>97.24591934478083</v>
      </c>
    </row>
    <row r="714" spans="1:9" ht="25.5">
      <c r="A714" s="16" t="s">
        <v>93</v>
      </c>
      <c r="B714" s="20" t="s">
        <v>69</v>
      </c>
      <c r="C714" s="20" t="s">
        <v>62</v>
      </c>
      <c r="D714" s="97" t="s">
        <v>485</v>
      </c>
      <c r="E714" s="97" t="s">
        <v>94</v>
      </c>
      <c r="F714" s="59">
        <f>F715</f>
        <v>15555.099999999999</v>
      </c>
      <c r="G714" s="59">
        <f t="shared" si="324"/>
        <v>15126.7</v>
      </c>
      <c r="H714" s="59">
        <f t="shared" si="324"/>
        <v>428.39999999999782</v>
      </c>
      <c r="I714" s="190">
        <f t="shared" ref="I714:I777" si="325">G714/F714*100</f>
        <v>97.24591934478083</v>
      </c>
    </row>
    <row r="715" spans="1:9">
      <c r="A715" s="16" t="s">
        <v>97</v>
      </c>
      <c r="B715" s="20" t="s">
        <v>69</v>
      </c>
      <c r="C715" s="20" t="s">
        <v>62</v>
      </c>
      <c r="D715" s="97" t="s">
        <v>485</v>
      </c>
      <c r="E715" s="97" t="s">
        <v>98</v>
      </c>
      <c r="F715" s="59">
        <f>'пр.4 вед.стр.'!G744</f>
        <v>15555.099999999999</v>
      </c>
      <c r="G715" s="59">
        <f>'пр.4 вед.стр.'!H744</f>
        <v>15126.7</v>
      </c>
      <c r="H715" s="59">
        <f>'пр.4 вед.стр.'!I744</f>
        <v>428.39999999999782</v>
      </c>
      <c r="I715" s="190">
        <f t="shared" si="325"/>
        <v>97.24591934478083</v>
      </c>
    </row>
    <row r="716" spans="1:9" ht="51">
      <c r="A716" s="16" t="s">
        <v>202</v>
      </c>
      <c r="B716" s="20" t="s">
        <v>69</v>
      </c>
      <c r="C716" s="20" t="s">
        <v>62</v>
      </c>
      <c r="D716" s="97" t="s">
        <v>486</v>
      </c>
      <c r="E716" s="97"/>
      <c r="F716" s="59">
        <f>F717</f>
        <v>129.30000000000001</v>
      </c>
      <c r="G716" s="59">
        <f t="shared" ref="G716:H717" si="326">G717</f>
        <v>88.2</v>
      </c>
      <c r="H716" s="59">
        <f t="shared" si="326"/>
        <v>41.100000000000009</v>
      </c>
      <c r="I716" s="190">
        <f t="shared" si="325"/>
        <v>68.213457076566115</v>
      </c>
    </row>
    <row r="717" spans="1:9" ht="25.5">
      <c r="A717" s="16" t="s">
        <v>93</v>
      </c>
      <c r="B717" s="20" t="s">
        <v>69</v>
      </c>
      <c r="C717" s="20" t="s">
        <v>62</v>
      </c>
      <c r="D717" s="97" t="s">
        <v>486</v>
      </c>
      <c r="E717" s="97" t="s">
        <v>94</v>
      </c>
      <c r="F717" s="59">
        <f>F718</f>
        <v>129.30000000000001</v>
      </c>
      <c r="G717" s="59">
        <f t="shared" si="326"/>
        <v>88.2</v>
      </c>
      <c r="H717" s="59">
        <f t="shared" si="326"/>
        <v>41.100000000000009</v>
      </c>
      <c r="I717" s="190">
        <f t="shared" si="325"/>
        <v>68.213457076566115</v>
      </c>
    </row>
    <row r="718" spans="1:9">
      <c r="A718" s="16" t="s">
        <v>97</v>
      </c>
      <c r="B718" s="20" t="s">
        <v>69</v>
      </c>
      <c r="C718" s="20" t="s">
        <v>62</v>
      </c>
      <c r="D718" s="97" t="s">
        <v>486</v>
      </c>
      <c r="E718" s="97" t="s">
        <v>98</v>
      </c>
      <c r="F718" s="59">
        <f>'пр.4 вед.стр.'!G747</f>
        <v>129.30000000000001</v>
      </c>
      <c r="G718" s="59">
        <f>'пр.4 вед.стр.'!H747</f>
        <v>88.2</v>
      </c>
      <c r="H718" s="59">
        <f>'пр.4 вед.стр.'!I747</f>
        <v>41.100000000000009</v>
      </c>
      <c r="I718" s="190">
        <f t="shared" si="325"/>
        <v>68.213457076566115</v>
      </c>
    </row>
    <row r="719" spans="1:9">
      <c r="A719" s="16" t="s">
        <v>174</v>
      </c>
      <c r="B719" s="20" t="s">
        <v>69</v>
      </c>
      <c r="C719" s="20" t="s">
        <v>62</v>
      </c>
      <c r="D719" s="97" t="s">
        <v>487</v>
      </c>
      <c r="E719" s="97"/>
      <c r="F719" s="59">
        <f>F720</f>
        <v>32</v>
      </c>
      <c r="G719" s="59">
        <f t="shared" ref="G719:H720" si="327">G720</f>
        <v>0</v>
      </c>
      <c r="H719" s="59">
        <f t="shared" si="327"/>
        <v>32</v>
      </c>
      <c r="I719" s="190">
        <f t="shared" si="325"/>
        <v>0</v>
      </c>
    </row>
    <row r="720" spans="1:9" ht="25.5">
      <c r="A720" s="16" t="s">
        <v>93</v>
      </c>
      <c r="B720" s="20" t="s">
        <v>69</v>
      </c>
      <c r="C720" s="20" t="s">
        <v>62</v>
      </c>
      <c r="D720" s="97" t="s">
        <v>487</v>
      </c>
      <c r="E720" s="97" t="s">
        <v>94</v>
      </c>
      <c r="F720" s="59">
        <f>F721</f>
        <v>32</v>
      </c>
      <c r="G720" s="59">
        <f t="shared" si="327"/>
        <v>0</v>
      </c>
      <c r="H720" s="59">
        <f t="shared" si="327"/>
        <v>32</v>
      </c>
      <c r="I720" s="190">
        <f t="shared" si="325"/>
        <v>0</v>
      </c>
    </row>
    <row r="721" spans="1:9">
      <c r="A721" s="16" t="s">
        <v>97</v>
      </c>
      <c r="B721" s="20" t="s">
        <v>69</v>
      </c>
      <c r="C721" s="20" t="s">
        <v>62</v>
      </c>
      <c r="D721" s="97" t="s">
        <v>487</v>
      </c>
      <c r="E721" s="97" t="s">
        <v>98</v>
      </c>
      <c r="F721" s="59">
        <f>'пр.4 вед.стр.'!G750</f>
        <v>32</v>
      </c>
      <c r="G721" s="59">
        <f>'пр.4 вед.стр.'!H750</f>
        <v>0</v>
      </c>
      <c r="H721" s="59">
        <f>'пр.4 вед.стр.'!I750</f>
        <v>32</v>
      </c>
      <c r="I721" s="190">
        <f t="shared" si="325"/>
        <v>0</v>
      </c>
    </row>
    <row r="722" spans="1:9">
      <c r="A722" s="16" t="s">
        <v>77</v>
      </c>
      <c r="B722" s="20" t="s">
        <v>69</v>
      </c>
      <c r="C722" s="20" t="s">
        <v>62</v>
      </c>
      <c r="D722" s="97" t="s">
        <v>488</v>
      </c>
      <c r="E722" s="97"/>
      <c r="F722" s="59">
        <f>F723</f>
        <v>1280.6999999999998</v>
      </c>
      <c r="G722" s="59">
        <f t="shared" ref="G722:H722" si="328">G723</f>
        <v>1280.6999999999998</v>
      </c>
      <c r="H722" s="59">
        <f t="shared" si="328"/>
        <v>0</v>
      </c>
      <c r="I722" s="190">
        <f t="shared" si="325"/>
        <v>100</v>
      </c>
    </row>
    <row r="723" spans="1:9" ht="25.5">
      <c r="A723" s="16" t="s">
        <v>489</v>
      </c>
      <c r="B723" s="20" t="s">
        <v>69</v>
      </c>
      <c r="C723" s="20" t="s">
        <v>62</v>
      </c>
      <c r="D723" s="97" t="s">
        <v>490</v>
      </c>
      <c r="E723" s="97"/>
      <c r="F723" s="59">
        <f>F724+F726+F728</f>
        <v>1280.6999999999998</v>
      </c>
      <c r="G723" s="59">
        <f t="shared" ref="G723:H723" si="329">G724+G726+G728</f>
        <v>1280.6999999999998</v>
      </c>
      <c r="H723" s="59">
        <f t="shared" si="329"/>
        <v>0</v>
      </c>
      <c r="I723" s="190">
        <f t="shared" si="325"/>
        <v>100</v>
      </c>
    </row>
    <row r="724" spans="1:9" ht="51">
      <c r="A724" s="16" t="s">
        <v>90</v>
      </c>
      <c r="B724" s="20" t="s">
        <v>69</v>
      </c>
      <c r="C724" s="20" t="s">
        <v>62</v>
      </c>
      <c r="D724" s="97" t="s">
        <v>490</v>
      </c>
      <c r="E724" s="97" t="s">
        <v>91</v>
      </c>
      <c r="F724" s="59">
        <f>F725</f>
        <v>1054.0999999999999</v>
      </c>
      <c r="G724" s="59">
        <f t="shared" ref="G724:H724" si="330">G725</f>
        <v>1054.0999999999999</v>
      </c>
      <c r="H724" s="59">
        <f t="shared" si="330"/>
        <v>0</v>
      </c>
      <c r="I724" s="190">
        <f t="shared" si="325"/>
        <v>100</v>
      </c>
    </row>
    <row r="725" spans="1:9">
      <c r="A725" s="16" t="s">
        <v>206</v>
      </c>
      <c r="B725" s="20" t="s">
        <v>69</v>
      </c>
      <c r="C725" s="20" t="s">
        <v>62</v>
      </c>
      <c r="D725" s="97" t="s">
        <v>490</v>
      </c>
      <c r="E725" s="97" t="s">
        <v>207</v>
      </c>
      <c r="F725" s="59">
        <f>'пр.4 вед.стр.'!G754</f>
        <v>1054.0999999999999</v>
      </c>
      <c r="G725" s="59">
        <f>'пр.4 вед.стр.'!H754</f>
        <v>1054.0999999999999</v>
      </c>
      <c r="H725" s="59">
        <f>'пр.4 вед.стр.'!I754</f>
        <v>0</v>
      </c>
      <c r="I725" s="190">
        <f t="shared" si="325"/>
        <v>100</v>
      </c>
    </row>
    <row r="726" spans="1:9" ht="25.5">
      <c r="A726" s="16" t="s">
        <v>331</v>
      </c>
      <c r="B726" s="20" t="s">
        <v>69</v>
      </c>
      <c r="C726" s="20" t="s">
        <v>62</v>
      </c>
      <c r="D726" s="97" t="s">
        <v>490</v>
      </c>
      <c r="E726" s="97" t="s">
        <v>92</v>
      </c>
      <c r="F726" s="59">
        <f>F727</f>
        <v>224.5</v>
      </c>
      <c r="G726" s="59">
        <f t="shared" ref="G726:H726" si="331">G727</f>
        <v>224.5</v>
      </c>
      <c r="H726" s="59">
        <f t="shared" si="331"/>
        <v>0</v>
      </c>
      <c r="I726" s="190">
        <f t="shared" si="325"/>
        <v>100</v>
      </c>
    </row>
    <row r="727" spans="1:9" ht="25.5">
      <c r="A727" s="16" t="s">
        <v>556</v>
      </c>
      <c r="B727" s="20" t="s">
        <v>69</v>
      </c>
      <c r="C727" s="20" t="s">
        <v>62</v>
      </c>
      <c r="D727" s="97" t="s">
        <v>490</v>
      </c>
      <c r="E727" s="97" t="s">
        <v>89</v>
      </c>
      <c r="F727" s="59">
        <f>'пр.4 вед.стр.'!G756</f>
        <v>224.5</v>
      </c>
      <c r="G727" s="59">
        <f>'пр.4 вед.стр.'!H756</f>
        <v>224.5</v>
      </c>
      <c r="H727" s="59">
        <f>'пр.4 вед.стр.'!I756</f>
        <v>0</v>
      </c>
      <c r="I727" s="190">
        <f t="shared" si="325"/>
        <v>100</v>
      </c>
    </row>
    <row r="728" spans="1:9">
      <c r="A728" s="16" t="s">
        <v>108</v>
      </c>
      <c r="B728" s="20" t="s">
        <v>69</v>
      </c>
      <c r="C728" s="20" t="s">
        <v>62</v>
      </c>
      <c r="D728" s="97" t="s">
        <v>490</v>
      </c>
      <c r="E728" s="97" t="s">
        <v>109</v>
      </c>
      <c r="F728" s="59">
        <f>F729</f>
        <v>2.0999999999999996</v>
      </c>
      <c r="G728" s="59">
        <f t="shared" ref="G728:H728" si="332">G729</f>
        <v>2.1</v>
      </c>
      <c r="H728" s="59">
        <f t="shared" si="332"/>
        <v>0</v>
      </c>
      <c r="I728" s="190">
        <f t="shared" si="325"/>
        <v>100.00000000000003</v>
      </c>
    </row>
    <row r="729" spans="1:9">
      <c r="A729" s="16" t="s">
        <v>111</v>
      </c>
      <c r="B729" s="20" t="s">
        <v>69</v>
      </c>
      <c r="C729" s="20" t="s">
        <v>62</v>
      </c>
      <c r="D729" s="97" t="s">
        <v>490</v>
      </c>
      <c r="E729" s="97" t="s">
        <v>112</v>
      </c>
      <c r="F729" s="59">
        <f>'пр.4 вед.стр.'!G758</f>
        <v>2.0999999999999996</v>
      </c>
      <c r="G729" s="59">
        <f>'пр.4 вед.стр.'!H758</f>
        <v>2.1</v>
      </c>
      <c r="H729" s="59">
        <f>'пр.4 вед.стр.'!I758</f>
        <v>0</v>
      </c>
      <c r="I729" s="190">
        <f t="shared" si="325"/>
        <v>100.00000000000003</v>
      </c>
    </row>
    <row r="730" spans="1:9">
      <c r="A730" s="15" t="s">
        <v>82</v>
      </c>
      <c r="B730" s="31" t="s">
        <v>69</v>
      </c>
      <c r="C730" s="31" t="s">
        <v>64</v>
      </c>
      <c r="D730" s="100"/>
      <c r="E730" s="100"/>
      <c r="F730" s="143">
        <f>F732+F739+F744+F749+F770</f>
        <v>14220.3</v>
      </c>
      <c r="G730" s="143">
        <f t="shared" ref="G730:H730" si="333">G732+G739+G744+G749+G770</f>
        <v>13398.8</v>
      </c>
      <c r="H730" s="143">
        <f t="shared" si="333"/>
        <v>821.50000000000034</v>
      </c>
      <c r="I730" s="190">
        <f t="shared" si="325"/>
        <v>94.223047333741206</v>
      </c>
    </row>
    <row r="731" spans="1:9">
      <c r="A731" s="16" t="s">
        <v>430</v>
      </c>
      <c r="B731" s="20" t="s">
        <v>69</v>
      </c>
      <c r="C731" s="20" t="s">
        <v>64</v>
      </c>
      <c r="D731" s="102" t="s">
        <v>431</v>
      </c>
      <c r="E731" s="97"/>
      <c r="F731" s="59">
        <f>F732+F739+F744</f>
        <v>313.5</v>
      </c>
      <c r="G731" s="59">
        <f t="shared" ref="G731:H731" si="334">G732+G739+G744</f>
        <v>313.5</v>
      </c>
      <c r="H731" s="59">
        <f t="shared" si="334"/>
        <v>0</v>
      </c>
      <c r="I731" s="190">
        <f t="shared" si="325"/>
        <v>100</v>
      </c>
    </row>
    <row r="732" spans="1:9" ht="25.5">
      <c r="A732" s="28" t="str">
        <f>'пр.4 вед.стр.'!A761</f>
        <v>Муниципальная программа "Развитие культуры в Сусуманском городском округе на 2018- 2022 годы"</v>
      </c>
      <c r="B732" s="20" t="s">
        <v>69</v>
      </c>
      <c r="C732" s="20" t="s">
        <v>64</v>
      </c>
      <c r="D732" s="102" t="str">
        <f>'пр.4 вед.стр.'!E761</f>
        <v xml:space="preserve">7Е 0 00 00000 </v>
      </c>
      <c r="E732" s="97"/>
      <c r="F732" s="59">
        <f>F733</f>
        <v>261.60000000000002</v>
      </c>
      <c r="G732" s="59">
        <f t="shared" ref="G732:H733" si="335">G733</f>
        <v>261.60000000000002</v>
      </c>
      <c r="H732" s="59">
        <f t="shared" si="335"/>
        <v>0</v>
      </c>
      <c r="I732" s="190">
        <f t="shared" si="325"/>
        <v>100</v>
      </c>
    </row>
    <row r="733" spans="1:9" ht="25.5">
      <c r="A733" s="28" t="str">
        <f>'пр.4 вед.стр.'!A762</f>
        <v>Основное мероприятие "Сохранение культурного наследия и творческого потенциала"</v>
      </c>
      <c r="B733" s="20" t="s">
        <v>69</v>
      </c>
      <c r="C733" s="20" t="s">
        <v>64</v>
      </c>
      <c r="D733" s="102" t="str">
        <f>'пр.4 вед.стр.'!E762</f>
        <v xml:space="preserve">7Е 0 02 00000 </v>
      </c>
      <c r="E733" s="97"/>
      <c r="F733" s="59">
        <f>F734</f>
        <v>261.60000000000002</v>
      </c>
      <c r="G733" s="59">
        <f t="shared" si="335"/>
        <v>261.60000000000002</v>
      </c>
      <c r="H733" s="59">
        <f t="shared" si="335"/>
        <v>0</v>
      </c>
      <c r="I733" s="190">
        <f t="shared" si="325"/>
        <v>100</v>
      </c>
    </row>
    <row r="734" spans="1:9" ht="25.5">
      <c r="A734" s="28" t="str">
        <f>'пр.4 вед.стр.'!A763</f>
        <v>Проведение и участие в конкурсах, фестивалях, выставках, концертах, мастер- классах</v>
      </c>
      <c r="B734" s="20" t="s">
        <v>69</v>
      </c>
      <c r="C734" s="20" t="s">
        <v>64</v>
      </c>
      <c r="D734" s="102" t="s">
        <v>346</v>
      </c>
      <c r="E734" s="100"/>
      <c r="F734" s="59">
        <f>F735+F737</f>
        <v>261.60000000000002</v>
      </c>
      <c r="G734" s="59">
        <f t="shared" ref="G734:H734" si="336">G735+G737</f>
        <v>261.60000000000002</v>
      </c>
      <c r="H734" s="59">
        <f t="shared" si="336"/>
        <v>0</v>
      </c>
      <c r="I734" s="190">
        <f t="shared" si="325"/>
        <v>100</v>
      </c>
    </row>
    <row r="735" spans="1:9" ht="51">
      <c r="A735" s="28" t="str">
        <f>'пр.4 вед.стр.'!A764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5" s="20" t="s">
        <v>69</v>
      </c>
      <c r="C735" s="20" t="s">
        <v>64</v>
      </c>
      <c r="D735" s="102" t="str">
        <f>'пр.4 вед.стр.'!E764</f>
        <v xml:space="preserve">7Е 0 02 96120 </v>
      </c>
      <c r="E735" s="97" t="str">
        <f>'пр.4 вед.стр.'!F764</f>
        <v>100</v>
      </c>
      <c r="F735" s="59">
        <f>F736</f>
        <v>53.2</v>
      </c>
      <c r="G735" s="59">
        <f t="shared" ref="G735:H735" si="337">G736</f>
        <v>53.2</v>
      </c>
      <c r="H735" s="59">
        <f t="shared" si="337"/>
        <v>0</v>
      </c>
      <c r="I735" s="190">
        <f t="shared" si="325"/>
        <v>100</v>
      </c>
    </row>
    <row r="736" spans="1:9">
      <c r="A736" s="28" t="str">
        <f>'пр.4 вед.стр.'!A765</f>
        <v>Расходы на выплаты персоналу казенных учреждений</v>
      </c>
      <c r="B736" s="20" t="s">
        <v>69</v>
      </c>
      <c r="C736" s="20" t="s">
        <v>64</v>
      </c>
      <c r="D736" s="102" t="str">
        <f>'пр.4 вед.стр.'!E765</f>
        <v xml:space="preserve">7Е 0 02 96120 </v>
      </c>
      <c r="E736" s="97" t="str">
        <f>'пр.4 вед.стр.'!F765</f>
        <v>110</v>
      </c>
      <c r="F736" s="59">
        <f>'пр.4 вед.стр.'!G765</f>
        <v>53.2</v>
      </c>
      <c r="G736" s="59">
        <f>'пр.4 вед.стр.'!H765</f>
        <v>53.2</v>
      </c>
      <c r="H736" s="59">
        <f>'пр.4 вед.стр.'!I765</f>
        <v>0</v>
      </c>
      <c r="I736" s="190">
        <f t="shared" si="325"/>
        <v>100</v>
      </c>
    </row>
    <row r="737" spans="1:9" ht="25.5">
      <c r="A737" s="28" t="str">
        <f>'пр.4 вед.стр.'!A766</f>
        <v>Закупка товаров, работ и услуг для обеспечения государственных (муниципальных) нужд</v>
      </c>
      <c r="B737" s="20" t="s">
        <v>69</v>
      </c>
      <c r="C737" s="20" t="s">
        <v>64</v>
      </c>
      <c r="D737" s="102" t="str">
        <f>'пр.4 вед.стр.'!E766</f>
        <v xml:space="preserve">7Е 0 02 96120 </v>
      </c>
      <c r="E737" s="97" t="str">
        <f>'пр.4 вед.стр.'!F766</f>
        <v>200</v>
      </c>
      <c r="F737" s="59">
        <f>F738</f>
        <v>208.4</v>
      </c>
      <c r="G737" s="59">
        <f t="shared" ref="G737:H737" si="338">G738</f>
        <v>208.4</v>
      </c>
      <c r="H737" s="59">
        <f t="shared" si="338"/>
        <v>0</v>
      </c>
      <c r="I737" s="190">
        <f t="shared" si="325"/>
        <v>100</v>
      </c>
    </row>
    <row r="738" spans="1:9" ht="25.5">
      <c r="A738" s="16" t="s">
        <v>556</v>
      </c>
      <c r="B738" s="20" t="s">
        <v>69</v>
      </c>
      <c r="C738" s="20" t="s">
        <v>64</v>
      </c>
      <c r="D738" s="102" t="str">
        <f>'пр.4 вед.стр.'!E767</f>
        <v xml:space="preserve">7Е 0 02 96120 </v>
      </c>
      <c r="E738" s="97" t="str">
        <f>'пр.4 вед.стр.'!F767</f>
        <v>240</v>
      </c>
      <c r="F738" s="59">
        <f>'пр.4 вед.стр.'!G767</f>
        <v>208.4</v>
      </c>
      <c r="G738" s="59">
        <f>'пр.4 вед.стр.'!H767</f>
        <v>208.4</v>
      </c>
      <c r="H738" s="59">
        <f>'пр.4 вед.стр.'!I767</f>
        <v>0</v>
      </c>
      <c r="I738" s="190">
        <f t="shared" si="325"/>
        <v>100</v>
      </c>
    </row>
    <row r="739" spans="1:9" ht="25.5">
      <c r="A739" s="28" t="str">
        <f>'пр.4 вед.стр.'!A768</f>
        <v>Муниципальная программа  "Пожарная безопасность в Сусуманском городском округе на 2018- 2022 годы"</v>
      </c>
      <c r="B739" s="20" t="s">
        <v>69</v>
      </c>
      <c r="C739" s="20" t="s">
        <v>64</v>
      </c>
      <c r="D739" s="102" t="str">
        <f>'пр.4 вед.стр.'!E768</f>
        <v xml:space="preserve">7П 0 00 00000 </v>
      </c>
      <c r="E739" s="97"/>
      <c r="F739" s="59">
        <f>F740</f>
        <v>36.4</v>
      </c>
      <c r="G739" s="59">
        <f t="shared" ref="G739:H742" si="339">G740</f>
        <v>36.4</v>
      </c>
      <c r="H739" s="59">
        <f t="shared" si="339"/>
        <v>0</v>
      </c>
      <c r="I739" s="190">
        <f t="shared" si="325"/>
        <v>100</v>
      </c>
    </row>
    <row r="740" spans="1:9" ht="38.25">
      <c r="A740" s="28" t="str">
        <f>'пр.4 вед.стр.'!A769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40" s="20" t="s">
        <v>69</v>
      </c>
      <c r="C740" s="20" t="s">
        <v>64</v>
      </c>
      <c r="D740" s="102" t="str">
        <f>'пр.4 вед.стр.'!E769</f>
        <v xml:space="preserve">7П 0 01 00000 </v>
      </c>
      <c r="E740" s="97"/>
      <c r="F740" s="59">
        <f>F741</f>
        <v>36.4</v>
      </c>
      <c r="G740" s="59">
        <f t="shared" si="339"/>
        <v>36.4</v>
      </c>
      <c r="H740" s="59">
        <f t="shared" si="339"/>
        <v>0</v>
      </c>
      <c r="I740" s="190">
        <f t="shared" si="325"/>
        <v>100</v>
      </c>
    </row>
    <row r="741" spans="1:9" ht="25.5">
      <c r="A741" s="28" t="str">
        <f>'пр.4 вед.стр.'!A770</f>
        <v>Приобретение и заправка огнетушителей, средств индивидуальной защиты</v>
      </c>
      <c r="B741" s="20" t="s">
        <v>69</v>
      </c>
      <c r="C741" s="20" t="s">
        <v>64</v>
      </c>
      <c r="D741" s="102" t="str">
        <f>'пр.4 вед.стр.'!E770</f>
        <v xml:space="preserve">7П 0 01 94300 </v>
      </c>
      <c r="E741" s="97"/>
      <c r="F741" s="59">
        <f>F742</f>
        <v>36.4</v>
      </c>
      <c r="G741" s="59">
        <f t="shared" si="339"/>
        <v>36.4</v>
      </c>
      <c r="H741" s="59">
        <f t="shared" si="339"/>
        <v>0</v>
      </c>
      <c r="I741" s="190">
        <f t="shared" si="325"/>
        <v>100</v>
      </c>
    </row>
    <row r="742" spans="1:9" ht="25.5">
      <c r="A742" s="28" t="str">
        <f>'пр.4 вед.стр.'!A771</f>
        <v>Закупка товаров, работ и услуг для обеспечения государственных (муниципальных) нужд</v>
      </c>
      <c r="B742" s="20" t="s">
        <v>69</v>
      </c>
      <c r="C742" s="20" t="s">
        <v>64</v>
      </c>
      <c r="D742" s="102" t="str">
        <f>'пр.4 вед.стр.'!E771</f>
        <v xml:space="preserve">7П 0 01 94300 </v>
      </c>
      <c r="E742" s="97" t="str">
        <f>'пр.4 вед.стр.'!F771</f>
        <v>200</v>
      </c>
      <c r="F742" s="59">
        <f>F743</f>
        <v>36.4</v>
      </c>
      <c r="G742" s="59">
        <f t="shared" si="339"/>
        <v>36.4</v>
      </c>
      <c r="H742" s="59">
        <f t="shared" si="339"/>
        <v>0</v>
      </c>
      <c r="I742" s="190">
        <f t="shared" si="325"/>
        <v>100</v>
      </c>
    </row>
    <row r="743" spans="1:9" ht="25.5">
      <c r="A743" s="16" t="s">
        <v>556</v>
      </c>
      <c r="B743" s="20" t="s">
        <v>69</v>
      </c>
      <c r="C743" s="20" t="s">
        <v>64</v>
      </c>
      <c r="D743" s="102" t="str">
        <f>'пр.4 вед.стр.'!E772</f>
        <v xml:space="preserve">7П 0 01 94300 </v>
      </c>
      <c r="E743" s="97" t="str">
        <f>'пр.4 вед.стр.'!F772</f>
        <v>240</v>
      </c>
      <c r="F743" s="59">
        <f>'пр.4 вед.стр.'!G772</f>
        <v>36.4</v>
      </c>
      <c r="G743" s="59">
        <f>'пр.4 вед.стр.'!H772</f>
        <v>36.4</v>
      </c>
      <c r="H743" s="59">
        <f>'пр.4 вед.стр.'!I772</f>
        <v>0</v>
      </c>
      <c r="I743" s="190">
        <f t="shared" si="325"/>
        <v>100</v>
      </c>
    </row>
    <row r="744" spans="1:9" ht="51">
      <c r="A744" s="16" t="str">
        <f>'пр.4 вед.стр.'!A773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744" s="20" t="s">
        <v>69</v>
      </c>
      <c r="C744" s="20" t="s">
        <v>64</v>
      </c>
      <c r="D744" s="97" t="str">
        <f>'пр.4 вед.стр.'!E773</f>
        <v>7L 0 00 00000</v>
      </c>
      <c r="E744" s="98"/>
      <c r="F744" s="59">
        <f>F745</f>
        <v>15.5</v>
      </c>
      <c r="G744" s="59">
        <f t="shared" ref="G744:H747" si="340">G745</f>
        <v>15.5</v>
      </c>
      <c r="H744" s="59">
        <f t="shared" si="340"/>
        <v>0</v>
      </c>
      <c r="I744" s="190">
        <f t="shared" si="325"/>
        <v>100</v>
      </c>
    </row>
    <row r="745" spans="1:9">
      <c r="A745" s="16" t="str">
        <f>'пр.4 вед.стр.'!A774</f>
        <v>Основное мероприятие "Гармонизация межнациональных отношений"</v>
      </c>
      <c r="B745" s="20" t="s">
        <v>69</v>
      </c>
      <c r="C745" s="20" t="s">
        <v>64</v>
      </c>
      <c r="D745" s="97" t="str">
        <f>'пр.4 вед.стр.'!E774</f>
        <v>7L 0 03 00000</v>
      </c>
      <c r="E745" s="98"/>
      <c r="F745" s="59">
        <f>F746</f>
        <v>15.5</v>
      </c>
      <c r="G745" s="59">
        <f t="shared" si="340"/>
        <v>15.5</v>
      </c>
      <c r="H745" s="59">
        <f t="shared" si="340"/>
        <v>0</v>
      </c>
      <c r="I745" s="190">
        <f t="shared" si="325"/>
        <v>100</v>
      </c>
    </row>
    <row r="746" spans="1:9" ht="25.5">
      <c r="A746" s="16" t="str">
        <f>'пр.4 вед.стр.'!A775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46" s="20" t="s">
        <v>69</v>
      </c>
      <c r="C746" s="20" t="s">
        <v>64</v>
      </c>
      <c r="D746" s="97" t="str">
        <f>'пр.4 вед.стр.'!E775</f>
        <v>7L 0 03 97200</v>
      </c>
      <c r="E746" s="98"/>
      <c r="F746" s="59">
        <f>F747</f>
        <v>15.5</v>
      </c>
      <c r="G746" s="59">
        <f t="shared" si="340"/>
        <v>15.5</v>
      </c>
      <c r="H746" s="59">
        <f t="shared" si="340"/>
        <v>0</v>
      </c>
      <c r="I746" s="190">
        <f t="shared" si="325"/>
        <v>100</v>
      </c>
    </row>
    <row r="747" spans="1:9" ht="25.5">
      <c r="A747" s="16" t="str">
        <f>'пр.4 вед.стр.'!A776</f>
        <v>Закупка товаров, работ и услуг для обеспечения государственных (муниципальных) нужд</v>
      </c>
      <c r="B747" s="20" t="s">
        <v>69</v>
      </c>
      <c r="C747" s="20" t="s">
        <v>64</v>
      </c>
      <c r="D747" s="97" t="str">
        <f>'пр.4 вед.стр.'!E776</f>
        <v>7L 0 03 97200</v>
      </c>
      <c r="E747" s="97" t="str">
        <f>'пр.4 вед.стр.'!F776</f>
        <v>200</v>
      </c>
      <c r="F747" s="59">
        <f>F748</f>
        <v>15.5</v>
      </c>
      <c r="G747" s="59">
        <f t="shared" si="340"/>
        <v>15.5</v>
      </c>
      <c r="H747" s="59">
        <f t="shared" si="340"/>
        <v>0</v>
      </c>
      <c r="I747" s="190">
        <f t="shared" si="325"/>
        <v>100</v>
      </c>
    </row>
    <row r="748" spans="1:9" ht="25.5">
      <c r="A748" s="16" t="s">
        <v>556</v>
      </c>
      <c r="B748" s="20" t="s">
        <v>69</v>
      </c>
      <c r="C748" s="20" t="s">
        <v>64</v>
      </c>
      <c r="D748" s="97" t="str">
        <f>'пр.4 вед.стр.'!E777</f>
        <v>7L 0 03 97200</v>
      </c>
      <c r="E748" s="97" t="str">
        <f>'пр.4 вед.стр.'!F777</f>
        <v>240</v>
      </c>
      <c r="F748" s="59">
        <f>'пр.4 вед.стр.'!G777</f>
        <v>15.5</v>
      </c>
      <c r="G748" s="59">
        <f>'пр.4 вед.стр.'!H777</f>
        <v>15.5</v>
      </c>
      <c r="H748" s="59">
        <f>'пр.4 вед.стр.'!I777</f>
        <v>0</v>
      </c>
      <c r="I748" s="190">
        <f t="shared" si="325"/>
        <v>100</v>
      </c>
    </row>
    <row r="749" spans="1:9" ht="25.5">
      <c r="A749" s="16" t="s">
        <v>275</v>
      </c>
      <c r="B749" s="20" t="s">
        <v>69</v>
      </c>
      <c r="C749" s="20" t="s">
        <v>64</v>
      </c>
      <c r="D749" s="97" t="s">
        <v>173</v>
      </c>
      <c r="E749" s="97"/>
      <c r="F749" s="59">
        <f>F750</f>
        <v>6886.9000000000005</v>
      </c>
      <c r="G749" s="59">
        <f t="shared" ref="G749:H749" si="341">G750</f>
        <v>6086.2</v>
      </c>
      <c r="H749" s="59">
        <f t="shared" si="341"/>
        <v>800.7000000000005</v>
      </c>
      <c r="I749" s="190">
        <f t="shared" si="325"/>
        <v>88.373578823563577</v>
      </c>
    </row>
    <row r="750" spans="1:9">
      <c r="A750" s="16" t="s">
        <v>46</v>
      </c>
      <c r="B750" s="20" t="s">
        <v>69</v>
      </c>
      <c r="C750" s="20" t="s">
        <v>64</v>
      </c>
      <c r="D750" s="97" t="s">
        <v>179</v>
      </c>
      <c r="E750" s="97"/>
      <c r="F750" s="59">
        <f>F751+F754+F759+F762+F767</f>
        <v>6886.9000000000005</v>
      </c>
      <c r="G750" s="59">
        <f t="shared" ref="G750:H750" si="342">G751+G754+G759+G762+G767</f>
        <v>6086.2</v>
      </c>
      <c r="H750" s="59">
        <f t="shared" si="342"/>
        <v>800.7000000000005</v>
      </c>
      <c r="I750" s="190">
        <f t="shared" si="325"/>
        <v>88.373578823563577</v>
      </c>
    </row>
    <row r="751" spans="1:9" ht="25.5">
      <c r="A751" s="16" t="s">
        <v>175</v>
      </c>
      <c r="B751" s="20" t="s">
        <v>69</v>
      </c>
      <c r="C751" s="20" t="s">
        <v>64</v>
      </c>
      <c r="D751" s="97" t="s">
        <v>180</v>
      </c>
      <c r="E751" s="97"/>
      <c r="F751" s="59">
        <f>F752</f>
        <v>5775.1</v>
      </c>
      <c r="G751" s="59">
        <f t="shared" ref="G751:H752" si="343">G752</f>
        <v>5300.7</v>
      </c>
      <c r="H751" s="59">
        <f t="shared" si="343"/>
        <v>474.40000000000055</v>
      </c>
      <c r="I751" s="190">
        <f t="shared" si="325"/>
        <v>91.78542362902806</v>
      </c>
    </row>
    <row r="752" spans="1:9" ht="51">
      <c r="A752" s="16" t="s">
        <v>90</v>
      </c>
      <c r="B752" s="20" t="s">
        <v>69</v>
      </c>
      <c r="C752" s="20" t="s">
        <v>64</v>
      </c>
      <c r="D752" s="97" t="s">
        <v>180</v>
      </c>
      <c r="E752" s="97" t="s">
        <v>91</v>
      </c>
      <c r="F752" s="59">
        <f>F753</f>
        <v>5775.1</v>
      </c>
      <c r="G752" s="59">
        <f t="shared" si="343"/>
        <v>5300.7</v>
      </c>
      <c r="H752" s="59">
        <f t="shared" si="343"/>
        <v>474.40000000000055</v>
      </c>
      <c r="I752" s="190">
        <f t="shared" si="325"/>
        <v>91.78542362902806</v>
      </c>
    </row>
    <row r="753" spans="1:9" ht="25.5">
      <c r="A753" s="16" t="s">
        <v>87</v>
      </c>
      <c r="B753" s="20" t="s">
        <v>69</v>
      </c>
      <c r="C753" s="20" t="s">
        <v>64</v>
      </c>
      <c r="D753" s="97" t="s">
        <v>180</v>
      </c>
      <c r="E753" s="97" t="s">
        <v>88</v>
      </c>
      <c r="F753" s="59">
        <f>'пр.4 вед.стр.'!G782</f>
        <v>5775.1</v>
      </c>
      <c r="G753" s="59">
        <f>'пр.4 вед.стр.'!H782</f>
        <v>5300.7</v>
      </c>
      <c r="H753" s="59">
        <f>'пр.4 вед.стр.'!I782</f>
        <v>474.40000000000055</v>
      </c>
      <c r="I753" s="190">
        <f t="shared" si="325"/>
        <v>91.78542362902806</v>
      </c>
    </row>
    <row r="754" spans="1:9">
      <c r="A754" s="16" t="s">
        <v>176</v>
      </c>
      <c r="B754" s="20" t="s">
        <v>69</v>
      </c>
      <c r="C754" s="20" t="s">
        <v>64</v>
      </c>
      <c r="D754" s="97" t="s">
        <v>181</v>
      </c>
      <c r="E754" s="97"/>
      <c r="F754" s="59">
        <f>F755+F757</f>
        <v>387.70000000000005</v>
      </c>
      <c r="G754" s="59">
        <f t="shared" ref="G754:H754" si="344">G755+G757</f>
        <v>300.8</v>
      </c>
      <c r="H754" s="59">
        <f t="shared" si="344"/>
        <v>86.90000000000002</v>
      </c>
      <c r="I754" s="190">
        <f t="shared" si="325"/>
        <v>77.585762187258183</v>
      </c>
    </row>
    <row r="755" spans="1:9" ht="25.5">
      <c r="A755" s="16" t="s">
        <v>331</v>
      </c>
      <c r="B755" s="20" t="s">
        <v>69</v>
      </c>
      <c r="C755" s="20" t="s">
        <v>64</v>
      </c>
      <c r="D755" s="97" t="s">
        <v>181</v>
      </c>
      <c r="E755" s="97" t="s">
        <v>92</v>
      </c>
      <c r="F755" s="59">
        <f>F756</f>
        <v>329.6</v>
      </c>
      <c r="G755" s="59">
        <f t="shared" ref="G755:H755" si="345">G756</f>
        <v>299.5</v>
      </c>
      <c r="H755" s="59">
        <f t="shared" si="345"/>
        <v>30.100000000000023</v>
      </c>
      <c r="I755" s="190">
        <f t="shared" si="325"/>
        <v>90.867718446601927</v>
      </c>
    </row>
    <row r="756" spans="1:9" ht="25.5">
      <c r="A756" s="16" t="s">
        <v>556</v>
      </c>
      <c r="B756" s="20" t="s">
        <v>69</v>
      </c>
      <c r="C756" s="20" t="s">
        <v>64</v>
      </c>
      <c r="D756" s="97" t="s">
        <v>181</v>
      </c>
      <c r="E756" s="97" t="s">
        <v>89</v>
      </c>
      <c r="F756" s="59">
        <f>'пр.4 вед.стр.'!G788</f>
        <v>329.6</v>
      </c>
      <c r="G756" s="59">
        <f>'пр.4 вед.стр.'!H788</f>
        <v>299.5</v>
      </c>
      <c r="H756" s="59">
        <f>'пр.4 вед.стр.'!I788</f>
        <v>30.100000000000023</v>
      </c>
      <c r="I756" s="190">
        <f t="shared" si="325"/>
        <v>90.867718446601927</v>
      </c>
    </row>
    <row r="757" spans="1:9">
      <c r="A757" s="16" t="s">
        <v>108</v>
      </c>
      <c r="B757" s="20" t="s">
        <v>69</v>
      </c>
      <c r="C757" s="20" t="s">
        <v>64</v>
      </c>
      <c r="D757" s="97" t="s">
        <v>181</v>
      </c>
      <c r="E757" s="97" t="s">
        <v>109</v>
      </c>
      <c r="F757" s="59">
        <f>F758</f>
        <v>58.099999999999994</v>
      </c>
      <c r="G757" s="59">
        <f t="shared" ref="G757:H757" si="346">G758</f>
        <v>1.3</v>
      </c>
      <c r="H757" s="59">
        <f t="shared" si="346"/>
        <v>56.8</v>
      </c>
      <c r="I757" s="190">
        <f t="shared" si="325"/>
        <v>2.2375215146299485</v>
      </c>
    </row>
    <row r="758" spans="1:9">
      <c r="A758" s="16" t="s">
        <v>111</v>
      </c>
      <c r="B758" s="20" t="s">
        <v>69</v>
      </c>
      <c r="C758" s="20" t="s">
        <v>64</v>
      </c>
      <c r="D758" s="97" t="s">
        <v>181</v>
      </c>
      <c r="E758" s="97" t="s">
        <v>112</v>
      </c>
      <c r="F758" s="59">
        <f>'пр.4 вед.стр.'!G790</f>
        <v>58.099999999999994</v>
      </c>
      <c r="G758" s="59">
        <f>'пр.4 вед.стр.'!H790</f>
        <v>1.3</v>
      </c>
      <c r="H758" s="59">
        <f>'пр.4 вед.стр.'!I790</f>
        <v>56.8</v>
      </c>
      <c r="I758" s="190">
        <f t="shared" si="325"/>
        <v>2.2375215146299485</v>
      </c>
    </row>
    <row r="759" spans="1:9" ht="51">
      <c r="A759" s="16" t="s">
        <v>202</v>
      </c>
      <c r="B759" s="20" t="s">
        <v>69</v>
      </c>
      <c r="C759" s="20" t="s">
        <v>64</v>
      </c>
      <c r="D759" s="97" t="s">
        <v>414</v>
      </c>
      <c r="E759" s="97"/>
      <c r="F759" s="59">
        <f>F760</f>
        <v>281.10000000000002</v>
      </c>
      <c r="G759" s="59">
        <f t="shared" ref="G759:H760" si="347">G760</f>
        <v>63.7</v>
      </c>
      <c r="H759" s="59">
        <f t="shared" si="347"/>
        <v>217.40000000000003</v>
      </c>
      <c r="I759" s="190">
        <f t="shared" si="325"/>
        <v>22.660974742084665</v>
      </c>
    </row>
    <row r="760" spans="1:9" ht="51">
      <c r="A760" s="16" t="s">
        <v>90</v>
      </c>
      <c r="B760" s="20" t="s">
        <v>69</v>
      </c>
      <c r="C760" s="20" t="s">
        <v>64</v>
      </c>
      <c r="D760" s="97" t="s">
        <v>414</v>
      </c>
      <c r="E760" s="97" t="s">
        <v>91</v>
      </c>
      <c r="F760" s="59">
        <f>F761</f>
        <v>281.10000000000002</v>
      </c>
      <c r="G760" s="59">
        <f t="shared" si="347"/>
        <v>63.7</v>
      </c>
      <c r="H760" s="59">
        <f t="shared" si="347"/>
        <v>217.40000000000003</v>
      </c>
      <c r="I760" s="190">
        <f t="shared" si="325"/>
        <v>22.660974742084665</v>
      </c>
    </row>
    <row r="761" spans="1:9" ht="25.5">
      <c r="A761" s="16" t="s">
        <v>87</v>
      </c>
      <c r="B761" s="20" t="s">
        <v>69</v>
      </c>
      <c r="C761" s="20" t="s">
        <v>64</v>
      </c>
      <c r="D761" s="97" t="s">
        <v>414</v>
      </c>
      <c r="E761" s="97" t="s">
        <v>88</v>
      </c>
      <c r="F761" s="59">
        <f>'пр.4 вед.стр.'!G793</f>
        <v>281.10000000000002</v>
      </c>
      <c r="G761" s="59">
        <f>'пр.4 вед.стр.'!H793</f>
        <v>63.7</v>
      </c>
      <c r="H761" s="59">
        <f>'пр.4 вед.стр.'!I793</f>
        <v>217.40000000000003</v>
      </c>
      <c r="I761" s="190">
        <f t="shared" si="325"/>
        <v>22.660974742084665</v>
      </c>
    </row>
    <row r="762" spans="1:9">
      <c r="A762" s="16" t="s">
        <v>174</v>
      </c>
      <c r="B762" s="20" t="s">
        <v>69</v>
      </c>
      <c r="C762" s="20" t="s">
        <v>64</v>
      </c>
      <c r="D762" s="97" t="s">
        <v>415</v>
      </c>
      <c r="E762" s="97"/>
      <c r="F762" s="59">
        <f>F763+F765</f>
        <v>316</v>
      </c>
      <c r="G762" s="59">
        <f t="shared" ref="G762:H762" si="348">G763+G765</f>
        <v>294</v>
      </c>
      <c r="H762" s="59">
        <f t="shared" si="348"/>
        <v>22</v>
      </c>
      <c r="I762" s="190">
        <f t="shared" si="325"/>
        <v>93.037974683544306</v>
      </c>
    </row>
    <row r="763" spans="1:9" ht="51">
      <c r="A763" s="16" t="s">
        <v>90</v>
      </c>
      <c r="B763" s="20" t="s">
        <v>69</v>
      </c>
      <c r="C763" s="20" t="s">
        <v>64</v>
      </c>
      <c r="D763" s="97" t="s">
        <v>415</v>
      </c>
      <c r="E763" s="97" t="s">
        <v>91</v>
      </c>
      <c r="F763" s="59">
        <f>F764</f>
        <v>32</v>
      </c>
      <c r="G763" s="59">
        <f t="shared" ref="G763:H763" si="349">G764</f>
        <v>10</v>
      </c>
      <c r="H763" s="59">
        <f t="shared" si="349"/>
        <v>22</v>
      </c>
      <c r="I763" s="190">
        <f t="shared" si="325"/>
        <v>31.25</v>
      </c>
    </row>
    <row r="764" spans="1:9" ht="25.5">
      <c r="A764" s="16" t="s">
        <v>87</v>
      </c>
      <c r="B764" s="20" t="s">
        <v>69</v>
      </c>
      <c r="C764" s="20" t="s">
        <v>64</v>
      </c>
      <c r="D764" s="97" t="s">
        <v>415</v>
      </c>
      <c r="E764" s="97" t="s">
        <v>88</v>
      </c>
      <c r="F764" s="59">
        <f>'пр.4 вед.стр.'!G796</f>
        <v>32</v>
      </c>
      <c r="G764" s="59">
        <f>'пр.4 вед.стр.'!H796</f>
        <v>10</v>
      </c>
      <c r="H764" s="59">
        <f>'пр.4 вед.стр.'!I796</f>
        <v>22</v>
      </c>
      <c r="I764" s="190">
        <f t="shared" si="325"/>
        <v>31.25</v>
      </c>
    </row>
    <row r="765" spans="1:9">
      <c r="A765" s="16" t="str">
        <f>'пр.4 вед.стр.'!A797</f>
        <v>Социальное обеспечение и иные выплаты населению</v>
      </c>
      <c r="B765" s="20" t="s">
        <v>69</v>
      </c>
      <c r="C765" s="20" t="s">
        <v>64</v>
      </c>
      <c r="D765" s="97" t="s">
        <v>415</v>
      </c>
      <c r="E765" s="121">
        <f>'пр.4 вед.стр.'!F797</f>
        <v>300</v>
      </c>
      <c r="F765" s="59">
        <f>F766</f>
        <v>284</v>
      </c>
      <c r="G765" s="59">
        <f t="shared" ref="G765:H765" si="350">G766</f>
        <v>284</v>
      </c>
      <c r="H765" s="59">
        <f t="shared" si="350"/>
        <v>0</v>
      </c>
      <c r="I765" s="190">
        <f t="shared" si="325"/>
        <v>100</v>
      </c>
    </row>
    <row r="766" spans="1:9" ht="25.5">
      <c r="A766" s="16" t="str">
        <f>'пр.4 вед.стр.'!A798</f>
        <v>Социальные выплаты гражданам, кроме публичных нормативных социальных выплат</v>
      </c>
      <c r="B766" s="20" t="s">
        <v>69</v>
      </c>
      <c r="C766" s="20" t="s">
        <v>64</v>
      </c>
      <c r="D766" s="97" t="s">
        <v>415</v>
      </c>
      <c r="E766" s="121">
        <f>'пр.4 вед.стр.'!F798</f>
        <v>320</v>
      </c>
      <c r="F766" s="59">
        <f>'пр.4 вед.стр.'!G798</f>
        <v>284</v>
      </c>
      <c r="G766" s="59">
        <f>'пр.4 вед.стр.'!H798</f>
        <v>284</v>
      </c>
      <c r="H766" s="59">
        <f>'пр.4 вед.стр.'!I798</f>
        <v>0</v>
      </c>
      <c r="I766" s="190">
        <f t="shared" si="325"/>
        <v>100</v>
      </c>
    </row>
    <row r="767" spans="1:9" ht="38.25">
      <c r="A767" s="16" t="str">
        <f>'пр.4 вед.стр.'!A783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767" s="20" t="s">
        <v>69</v>
      </c>
      <c r="C767" s="20" t="s">
        <v>64</v>
      </c>
      <c r="D767" s="97" t="str">
        <f>'пр.4 вед.стр.'!E783</f>
        <v>Р2 4 00 55500</v>
      </c>
      <c r="E767" s="121"/>
      <c r="F767" s="59">
        <f>F768</f>
        <v>127</v>
      </c>
      <c r="G767" s="59">
        <f t="shared" ref="G767:H768" si="351">G768</f>
        <v>127</v>
      </c>
      <c r="H767" s="59">
        <f t="shared" si="351"/>
        <v>0</v>
      </c>
      <c r="I767" s="190">
        <f t="shared" si="325"/>
        <v>100</v>
      </c>
    </row>
    <row r="768" spans="1:9" ht="51">
      <c r="A768" s="16" t="str">
        <f>'пр.4 вед.стр.'!A784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68" s="20" t="s">
        <v>69</v>
      </c>
      <c r="C768" s="20" t="s">
        <v>64</v>
      </c>
      <c r="D768" s="97" t="str">
        <f>'пр.4 вед.стр.'!E784</f>
        <v>Р2 4 00 55500</v>
      </c>
      <c r="E768" s="97" t="s">
        <v>91</v>
      </c>
      <c r="F768" s="59">
        <f>F769</f>
        <v>127</v>
      </c>
      <c r="G768" s="59">
        <f t="shared" si="351"/>
        <v>127</v>
      </c>
      <c r="H768" s="59">
        <f t="shared" si="351"/>
        <v>0</v>
      </c>
      <c r="I768" s="190">
        <f t="shared" si="325"/>
        <v>100</v>
      </c>
    </row>
    <row r="769" spans="1:9" ht="25.5">
      <c r="A769" s="16" t="str">
        <f>'пр.4 вед.стр.'!A785</f>
        <v>Расходы на выплаты персоналу государственных (муниципальных) органов</v>
      </c>
      <c r="B769" s="20" t="s">
        <v>69</v>
      </c>
      <c r="C769" s="20" t="s">
        <v>64</v>
      </c>
      <c r="D769" s="97" t="str">
        <f>'пр.4 вед.стр.'!E785</f>
        <v>Р2 4 00 55500</v>
      </c>
      <c r="E769" s="97" t="s">
        <v>88</v>
      </c>
      <c r="F769" s="59">
        <f>'пр.4 вед.стр.'!G785</f>
        <v>127</v>
      </c>
      <c r="G769" s="59">
        <f>'пр.4 вед.стр.'!H785</f>
        <v>127</v>
      </c>
      <c r="H769" s="59">
        <f>'пр.4 вед.стр.'!I785</f>
        <v>0</v>
      </c>
      <c r="I769" s="190">
        <f t="shared" si="325"/>
        <v>100</v>
      </c>
    </row>
    <row r="770" spans="1:9">
      <c r="A770" s="16" t="s">
        <v>467</v>
      </c>
      <c r="B770" s="20" t="s">
        <v>69</v>
      </c>
      <c r="C770" s="20" t="s">
        <v>64</v>
      </c>
      <c r="D770" s="97" t="s">
        <v>468</v>
      </c>
      <c r="E770" s="97"/>
      <c r="F770" s="59">
        <f>F771+F778+F781</f>
        <v>7019.9</v>
      </c>
      <c r="G770" s="59">
        <f t="shared" ref="G770:H770" si="352">G771+G778+G781</f>
        <v>6999.0999999999995</v>
      </c>
      <c r="H770" s="59">
        <f t="shared" si="352"/>
        <v>20.79999999999982</v>
      </c>
      <c r="I770" s="190">
        <f t="shared" si="325"/>
        <v>99.703699482898614</v>
      </c>
    </row>
    <row r="771" spans="1:9">
      <c r="A771" s="16" t="s">
        <v>261</v>
      </c>
      <c r="B771" s="20" t="s">
        <v>69</v>
      </c>
      <c r="C771" s="20" t="s">
        <v>64</v>
      </c>
      <c r="D771" s="97" t="s">
        <v>469</v>
      </c>
      <c r="E771" s="97"/>
      <c r="F771" s="59">
        <f>F772+F774+F776</f>
        <v>6688.9</v>
      </c>
      <c r="G771" s="59">
        <f t="shared" ref="G771:H771" si="353">G772+G774+G776</f>
        <v>6672.9</v>
      </c>
      <c r="H771" s="59">
        <f t="shared" si="353"/>
        <v>15.999999999999829</v>
      </c>
      <c r="I771" s="190">
        <f t="shared" si="325"/>
        <v>99.760797739538646</v>
      </c>
    </row>
    <row r="772" spans="1:9" ht="51">
      <c r="A772" s="16" t="s">
        <v>90</v>
      </c>
      <c r="B772" s="20" t="s">
        <v>69</v>
      </c>
      <c r="C772" s="20" t="s">
        <v>64</v>
      </c>
      <c r="D772" s="97" t="s">
        <v>469</v>
      </c>
      <c r="E772" s="97" t="s">
        <v>91</v>
      </c>
      <c r="F772" s="59">
        <f>F773</f>
        <v>6225.4</v>
      </c>
      <c r="G772" s="59">
        <f t="shared" ref="G772:H772" si="354">G773</f>
        <v>6225.2</v>
      </c>
      <c r="H772" s="59">
        <f t="shared" si="354"/>
        <v>0.1999999999998181</v>
      </c>
      <c r="I772" s="190">
        <f t="shared" si="325"/>
        <v>99.996787355029397</v>
      </c>
    </row>
    <row r="773" spans="1:9">
      <c r="A773" s="16" t="s">
        <v>206</v>
      </c>
      <c r="B773" s="20" t="s">
        <v>69</v>
      </c>
      <c r="C773" s="20" t="s">
        <v>64</v>
      </c>
      <c r="D773" s="97" t="s">
        <v>469</v>
      </c>
      <c r="E773" s="97" t="s">
        <v>207</v>
      </c>
      <c r="F773" s="59">
        <f>'пр.4 вед.стр.'!G802</f>
        <v>6225.4</v>
      </c>
      <c r="G773" s="59">
        <f>'пр.4 вед.стр.'!H802</f>
        <v>6225.2</v>
      </c>
      <c r="H773" s="59">
        <f>'пр.4 вед.стр.'!I802</f>
        <v>0.1999999999998181</v>
      </c>
      <c r="I773" s="190">
        <f t="shared" si="325"/>
        <v>99.996787355029397</v>
      </c>
    </row>
    <row r="774" spans="1:9" ht="25.5">
      <c r="A774" s="16" t="s">
        <v>331</v>
      </c>
      <c r="B774" s="20" t="s">
        <v>69</v>
      </c>
      <c r="C774" s="20" t="s">
        <v>64</v>
      </c>
      <c r="D774" s="97" t="s">
        <v>469</v>
      </c>
      <c r="E774" s="97" t="s">
        <v>92</v>
      </c>
      <c r="F774" s="59">
        <f>F775</f>
        <v>453.5</v>
      </c>
      <c r="G774" s="59">
        <f t="shared" ref="G774:H774" si="355">G775</f>
        <v>447.2</v>
      </c>
      <c r="H774" s="59">
        <f t="shared" si="355"/>
        <v>6.3000000000000114</v>
      </c>
      <c r="I774" s="190">
        <f t="shared" si="325"/>
        <v>98.610804851157667</v>
      </c>
    </row>
    <row r="775" spans="1:9" ht="25.5">
      <c r="A775" s="16" t="s">
        <v>556</v>
      </c>
      <c r="B775" s="20" t="s">
        <v>69</v>
      </c>
      <c r="C775" s="20" t="s">
        <v>64</v>
      </c>
      <c r="D775" s="97" t="s">
        <v>469</v>
      </c>
      <c r="E775" s="97" t="s">
        <v>89</v>
      </c>
      <c r="F775" s="59">
        <f>'пр.4 вед.стр.'!G804</f>
        <v>453.5</v>
      </c>
      <c r="G775" s="59">
        <f>'пр.4 вед.стр.'!H804</f>
        <v>447.2</v>
      </c>
      <c r="H775" s="59">
        <f>'пр.4 вед.стр.'!I804</f>
        <v>6.3000000000000114</v>
      </c>
      <c r="I775" s="190">
        <f t="shared" si="325"/>
        <v>98.610804851157667</v>
      </c>
    </row>
    <row r="776" spans="1:9">
      <c r="A776" s="16" t="s">
        <v>108</v>
      </c>
      <c r="B776" s="20" t="s">
        <v>69</v>
      </c>
      <c r="C776" s="20" t="s">
        <v>64</v>
      </c>
      <c r="D776" s="97" t="s">
        <v>469</v>
      </c>
      <c r="E776" s="97" t="s">
        <v>109</v>
      </c>
      <c r="F776" s="59">
        <f>F777</f>
        <v>10</v>
      </c>
      <c r="G776" s="59">
        <f t="shared" ref="G776:H776" si="356">G777</f>
        <v>0.5</v>
      </c>
      <c r="H776" s="59">
        <f t="shared" si="356"/>
        <v>9.5</v>
      </c>
      <c r="I776" s="190">
        <f t="shared" si="325"/>
        <v>5</v>
      </c>
    </row>
    <row r="777" spans="1:9">
      <c r="A777" s="16" t="s">
        <v>111</v>
      </c>
      <c r="B777" s="20" t="s">
        <v>69</v>
      </c>
      <c r="C777" s="20" t="s">
        <v>64</v>
      </c>
      <c r="D777" s="97" t="s">
        <v>469</v>
      </c>
      <c r="E777" s="97" t="s">
        <v>112</v>
      </c>
      <c r="F777" s="59">
        <f>'пр.4 вед.стр.'!G806</f>
        <v>10</v>
      </c>
      <c r="G777" s="59">
        <f>'пр.4 вед.стр.'!H806</f>
        <v>0.5</v>
      </c>
      <c r="H777" s="59">
        <f>'пр.4 вед.стр.'!I806</f>
        <v>9.5</v>
      </c>
      <c r="I777" s="190">
        <f t="shared" si="325"/>
        <v>5</v>
      </c>
    </row>
    <row r="778" spans="1:9" ht="51">
      <c r="A778" s="16" t="s">
        <v>202</v>
      </c>
      <c r="B778" s="20" t="s">
        <v>69</v>
      </c>
      <c r="C778" s="20" t="s">
        <v>64</v>
      </c>
      <c r="D778" s="97" t="s">
        <v>470</v>
      </c>
      <c r="E778" s="97"/>
      <c r="F778" s="59">
        <f>F779</f>
        <v>330</v>
      </c>
      <c r="G778" s="59">
        <f t="shared" ref="G778:H779" si="357">G779</f>
        <v>325.3</v>
      </c>
      <c r="H778" s="59">
        <f t="shared" si="357"/>
        <v>4.6999999999999886</v>
      </c>
      <c r="I778" s="190">
        <f t="shared" ref="I778:I841" si="358">G778/F778*100</f>
        <v>98.575757575757578</v>
      </c>
    </row>
    <row r="779" spans="1:9" ht="51">
      <c r="A779" s="16" t="s">
        <v>90</v>
      </c>
      <c r="B779" s="20" t="s">
        <v>69</v>
      </c>
      <c r="C779" s="20" t="s">
        <v>64</v>
      </c>
      <c r="D779" s="97" t="s">
        <v>470</v>
      </c>
      <c r="E779" s="97" t="s">
        <v>91</v>
      </c>
      <c r="F779" s="59">
        <f>F780</f>
        <v>330</v>
      </c>
      <c r="G779" s="59">
        <f t="shared" si="357"/>
        <v>325.3</v>
      </c>
      <c r="H779" s="59">
        <f t="shared" si="357"/>
        <v>4.6999999999999886</v>
      </c>
      <c r="I779" s="190">
        <f t="shared" si="358"/>
        <v>98.575757575757578</v>
      </c>
    </row>
    <row r="780" spans="1:9">
      <c r="A780" s="16" t="s">
        <v>206</v>
      </c>
      <c r="B780" s="20" t="s">
        <v>69</v>
      </c>
      <c r="C780" s="20" t="s">
        <v>64</v>
      </c>
      <c r="D780" s="97" t="s">
        <v>470</v>
      </c>
      <c r="E780" s="97" t="s">
        <v>207</v>
      </c>
      <c r="F780" s="59">
        <f>'пр.4 вед.стр.'!G809</f>
        <v>330</v>
      </c>
      <c r="G780" s="59">
        <f>'пр.4 вед.стр.'!H809</f>
        <v>325.3</v>
      </c>
      <c r="H780" s="59">
        <f>'пр.4 вед.стр.'!I809</f>
        <v>4.6999999999999886</v>
      </c>
      <c r="I780" s="190">
        <f t="shared" si="358"/>
        <v>98.575757575757578</v>
      </c>
    </row>
    <row r="781" spans="1:9">
      <c r="A781" s="16" t="s">
        <v>174</v>
      </c>
      <c r="B781" s="20" t="s">
        <v>69</v>
      </c>
      <c r="C781" s="20" t="s">
        <v>64</v>
      </c>
      <c r="D781" s="97" t="s">
        <v>471</v>
      </c>
      <c r="E781" s="97"/>
      <c r="F781" s="59">
        <f>F782</f>
        <v>1</v>
      </c>
      <c r="G781" s="59">
        <f t="shared" ref="G781:H782" si="359">G782</f>
        <v>0.9</v>
      </c>
      <c r="H781" s="59">
        <f t="shared" si="359"/>
        <v>9.9999999999999978E-2</v>
      </c>
      <c r="I781" s="190">
        <f t="shared" si="358"/>
        <v>90</v>
      </c>
    </row>
    <row r="782" spans="1:9" ht="51">
      <c r="A782" s="16" t="s">
        <v>90</v>
      </c>
      <c r="B782" s="20" t="s">
        <v>69</v>
      </c>
      <c r="C782" s="20" t="s">
        <v>64</v>
      </c>
      <c r="D782" s="97" t="s">
        <v>471</v>
      </c>
      <c r="E782" s="97" t="s">
        <v>91</v>
      </c>
      <c r="F782" s="59">
        <f>F783</f>
        <v>1</v>
      </c>
      <c r="G782" s="59">
        <f t="shared" si="359"/>
        <v>0.9</v>
      </c>
      <c r="H782" s="59">
        <f t="shared" si="359"/>
        <v>9.9999999999999978E-2</v>
      </c>
      <c r="I782" s="190">
        <f t="shared" si="358"/>
        <v>90</v>
      </c>
    </row>
    <row r="783" spans="1:9">
      <c r="A783" s="16" t="s">
        <v>206</v>
      </c>
      <c r="B783" s="20" t="s">
        <v>69</v>
      </c>
      <c r="C783" s="20" t="s">
        <v>64</v>
      </c>
      <c r="D783" s="97" t="s">
        <v>471</v>
      </c>
      <c r="E783" s="97" t="s">
        <v>207</v>
      </c>
      <c r="F783" s="59">
        <f>'пр.4 вед.стр.'!G812</f>
        <v>1</v>
      </c>
      <c r="G783" s="59">
        <f>'пр.4 вед.стр.'!H812</f>
        <v>0.9</v>
      </c>
      <c r="H783" s="59">
        <f>'пр.4 вед.стр.'!I812</f>
        <v>9.9999999999999978E-2</v>
      </c>
      <c r="I783" s="190">
        <f t="shared" si="358"/>
        <v>90</v>
      </c>
    </row>
    <row r="784" spans="1:9">
      <c r="A784" s="15" t="s">
        <v>58</v>
      </c>
      <c r="B784" s="31" t="s">
        <v>67</v>
      </c>
      <c r="C784" s="31" t="s">
        <v>33</v>
      </c>
      <c r="D784" s="97"/>
      <c r="E784" s="97"/>
      <c r="F784" s="143">
        <f>F786+F790+F825</f>
        <v>47596.3</v>
      </c>
      <c r="G784" s="143">
        <f t="shared" ref="G784:H784" si="360">G786+G790+G825</f>
        <v>47224.5</v>
      </c>
      <c r="H784" s="143">
        <f t="shared" si="360"/>
        <v>371.79999999999922</v>
      </c>
      <c r="I784" s="190">
        <f t="shared" si="358"/>
        <v>99.218846843136959</v>
      </c>
    </row>
    <row r="785" spans="1:9">
      <c r="A785" s="15" t="s">
        <v>54</v>
      </c>
      <c r="B785" s="31" t="s">
        <v>67</v>
      </c>
      <c r="C785" s="31" t="s">
        <v>62</v>
      </c>
      <c r="D785" s="97"/>
      <c r="E785" s="97"/>
      <c r="F785" s="143">
        <f>F786</f>
        <v>7952.5</v>
      </c>
      <c r="G785" s="143">
        <f t="shared" ref="G785:H788" si="361">G786</f>
        <v>7951.9</v>
      </c>
      <c r="H785" s="143">
        <f t="shared" si="361"/>
        <v>0.6000000000003638</v>
      </c>
      <c r="I785" s="190">
        <f t="shared" si="358"/>
        <v>99.992455202766422</v>
      </c>
    </row>
    <row r="786" spans="1:9">
      <c r="A786" s="16" t="s">
        <v>17</v>
      </c>
      <c r="B786" s="20" t="s">
        <v>67</v>
      </c>
      <c r="C786" s="20" t="s">
        <v>62</v>
      </c>
      <c r="D786" s="97" t="s">
        <v>347</v>
      </c>
      <c r="E786" s="97"/>
      <c r="F786" s="59">
        <f>F787</f>
        <v>7952.5</v>
      </c>
      <c r="G786" s="59">
        <f t="shared" si="361"/>
        <v>7951.9</v>
      </c>
      <c r="H786" s="59">
        <f t="shared" si="361"/>
        <v>0.6000000000003638</v>
      </c>
      <c r="I786" s="190">
        <f t="shared" si="358"/>
        <v>99.992455202766422</v>
      </c>
    </row>
    <row r="787" spans="1:9">
      <c r="A787" s="16" t="str">
        <f>'пр.4 вед.стр.'!A166</f>
        <v>Выплата доплаты к пенсии</v>
      </c>
      <c r="B787" s="20" t="s">
        <v>67</v>
      </c>
      <c r="C787" s="20" t="s">
        <v>62</v>
      </c>
      <c r="D787" s="97" t="s">
        <v>571</v>
      </c>
      <c r="E787" s="97"/>
      <c r="F787" s="59">
        <f>F788</f>
        <v>7952.5</v>
      </c>
      <c r="G787" s="59">
        <f t="shared" si="361"/>
        <v>7951.9</v>
      </c>
      <c r="H787" s="59">
        <f t="shared" si="361"/>
        <v>0.6000000000003638</v>
      </c>
      <c r="I787" s="190">
        <f t="shared" si="358"/>
        <v>99.992455202766422</v>
      </c>
    </row>
    <row r="788" spans="1:9">
      <c r="A788" s="16" t="s">
        <v>99</v>
      </c>
      <c r="B788" s="20" t="s">
        <v>67</v>
      </c>
      <c r="C788" s="20" t="s">
        <v>62</v>
      </c>
      <c r="D788" s="97" t="s">
        <v>571</v>
      </c>
      <c r="E788" s="97" t="s">
        <v>100</v>
      </c>
      <c r="F788" s="59">
        <f>F789</f>
        <v>7952.5</v>
      </c>
      <c r="G788" s="59">
        <f t="shared" si="361"/>
        <v>7951.9</v>
      </c>
      <c r="H788" s="59">
        <f t="shared" si="361"/>
        <v>0.6000000000003638</v>
      </c>
      <c r="I788" s="190">
        <f t="shared" si="358"/>
        <v>99.992455202766422</v>
      </c>
    </row>
    <row r="789" spans="1:9">
      <c r="A789" s="16" t="s">
        <v>101</v>
      </c>
      <c r="B789" s="20" t="s">
        <v>67</v>
      </c>
      <c r="C789" s="20" t="s">
        <v>62</v>
      </c>
      <c r="D789" s="97" t="s">
        <v>571</v>
      </c>
      <c r="E789" s="97" t="s">
        <v>102</v>
      </c>
      <c r="F789" s="59">
        <f>'пр.4 вед.стр.'!G168</f>
        <v>7952.5</v>
      </c>
      <c r="G789" s="59">
        <f>'пр.4 вед.стр.'!H168</f>
        <v>7951.9</v>
      </c>
      <c r="H789" s="59">
        <f>'пр.4 вед.стр.'!I168</f>
        <v>0.6000000000003638</v>
      </c>
      <c r="I789" s="190">
        <f t="shared" si="358"/>
        <v>99.992455202766422</v>
      </c>
    </row>
    <row r="790" spans="1:9">
      <c r="A790" s="23" t="s">
        <v>57</v>
      </c>
      <c r="B790" s="35" t="s">
        <v>67</v>
      </c>
      <c r="C790" s="35" t="s">
        <v>66</v>
      </c>
      <c r="D790" s="102"/>
      <c r="E790" s="102"/>
      <c r="F790" s="144">
        <f>F791+F821</f>
        <v>36202</v>
      </c>
      <c r="G790" s="144">
        <f t="shared" ref="G790:H790" si="362">G791+G821</f>
        <v>36183.5</v>
      </c>
      <c r="H790" s="144">
        <f t="shared" si="362"/>
        <v>18.499999999998945</v>
      </c>
      <c r="I790" s="190">
        <f t="shared" si="358"/>
        <v>99.948897850947461</v>
      </c>
    </row>
    <row r="791" spans="1:9">
      <c r="A791" s="16" t="s">
        <v>430</v>
      </c>
      <c r="B791" s="20" t="s">
        <v>67</v>
      </c>
      <c r="C791" s="20" t="s">
        <v>66</v>
      </c>
      <c r="D791" s="102" t="s">
        <v>431</v>
      </c>
      <c r="E791" s="102"/>
      <c r="F791" s="145">
        <f>F816+F792+F800</f>
        <v>30007.7</v>
      </c>
      <c r="G791" s="145">
        <f t="shared" ref="G791:H791" si="363">G816+G792+G800</f>
        <v>29989.200000000001</v>
      </c>
      <c r="H791" s="145">
        <f t="shared" si="363"/>
        <v>18.499999999998945</v>
      </c>
      <c r="I791" s="190">
        <f t="shared" si="358"/>
        <v>99.938349157049686</v>
      </c>
    </row>
    <row r="792" spans="1:9" ht="25.5">
      <c r="A792" s="16" t="str">
        <f>'пр.4 вед.стр.'!A171</f>
        <v>Муниципальная программа "Патриотическое воспитание  жителей Сусуманского городского округа  на 2018- 2022 годы"</v>
      </c>
      <c r="B792" s="20" t="s">
        <v>67</v>
      </c>
      <c r="C792" s="20" t="s">
        <v>66</v>
      </c>
      <c r="D792" s="102" t="str">
        <f>'пр.4 вед.стр.'!E171</f>
        <v xml:space="preserve">7В 0 00 00000 </v>
      </c>
      <c r="E792" s="102"/>
      <c r="F792" s="145">
        <f>F793</f>
        <v>117.19999999999999</v>
      </c>
      <c r="G792" s="145">
        <f t="shared" ref="G792:H792" si="364">G793</f>
        <v>102.10000000000001</v>
      </c>
      <c r="H792" s="145">
        <f t="shared" si="364"/>
        <v>15.099999999999991</v>
      </c>
      <c r="I792" s="190">
        <f t="shared" si="358"/>
        <v>87.116040955631419</v>
      </c>
    </row>
    <row r="793" spans="1:9" ht="38.25">
      <c r="A793" s="16" t="str">
        <f>'пр.4 вед.стр.'!A172</f>
        <v>Основное мероприятие "Реализация мероприятий по оказанию адресной помощи ветеранам Великой Отечественной войны 1941- 1945 годов"</v>
      </c>
      <c r="B793" s="20" t="s">
        <v>67</v>
      </c>
      <c r="C793" s="20" t="s">
        <v>66</v>
      </c>
      <c r="D793" s="102" t="str">
        <f>'пр.4 вед.стр.'!E172</f>
        <v>7В 0 02 00000</v>
      </c>
      <c r="E793" s="102"/>
      <c r="F793" s="145">
        <f>F794+F797</f>
        <v>117.19999999999999</v>
      </c>
      <c r="G793" s="145">
        <f t="shared" ref="G793:H793" si="365">G794+G797</f>
        <v>102.10000000000001</v>
      </c>
      <c r="H793" s="145">
        <f t="shared" si="365"/>
        <v>15.099999999999991</v>
      </c>
      <c r="I793" s="190">
        <f t="shared" si="358"/>
        <v>87.116040955631419</v>
      </c>
    </row>
    <row r="794" spans="1:9">
      <c r="A794" s="16" t="str">
        <f>'пр.4 вед.стр.'!A173</f>
        <v>Оказание материальной помощи, единовременной выплаты</v>
      </c>
      <c r="B794" s="20" t="s">
        <v>67</v>
      </c>
      <c r="C794" s="20" t="s">
        <v>66</v>
      </c>
      <c r="D794" s="102" t="str">
        <f>'пр.4 вед.стр.'!E173</f>
        <v>7В 0 02 91200</v>
      </c>
      <c r="E794" s="102"/>
      <c r="F794" s="145">
        <f>F795</f>
        <v>27.6</v>
      </c>
      <c r="G794" s="145">
        <f t="shared" ref="G794:H795" si="366">G795</f>
        <v>20.7</v>
      </c>
      <c r="H794" s="145">
        <f t="shared" si="366"/>
        <v>6.9000000000000021</v>
      </c>
      <c r="I794" s="190">
        <f t="shared" si="358"/>
        <v>74.999999999999986</v>
      </c>
    </row>
    <row r="795" spans="1:9">
      <c r="A795" s="16" t="str">
        <f>'пр.4 вед.стр.'!A174</f>
        <v>Социальное обеспечение и иные выплаты населению</v>
      </c>
      <c r="B795" s="20" t="s">
        <v>67</v>
      </c>
      <c r="C795" s="20" t="s">
        <v>66</v>
      </c>
      <c r="D795" s="102" t="str">
        <f>'пр.4 вед.стр.'!E174</f>
        <v>7В 0 02 91200</v>
      </c>
      <c r="E795" s="38" t="s">
        <v>100</v>
      </c>
      <c r="F795" s="145">
        <f>F796</f>
        <v>27.6</v>
      </c>
      <c r="G795" s="145">
        <f t="shared" si="366"/>
        <v>20.7</v>
      </c>
      <c r="H795" s="145">
        <f t="shared" si="366"/>
        <v>6.9000000000000021</v>
      </c>
      <c r="I795" s="190">
        <f t="shared" si="358"/>
        <v>74.999999999999986</v>
      </c>
    </row>
    <row r="796" spans="1:9">
      <c r="A796" s="16" t="str">
        <f>'пр.4 вед.стр.'!A175</f>
        <v>Иные выплаты населению</v>
      </c>
      <c r="B796" s="20" t="s">
        <v>67</v>
      </c>
      <c r="C796" s="20" t="s">
        <v>66</v>
      </c>
      <c r="D796" s="102" t="str">
        <f>'пр.4 вед.стр.'!E175</f>
        <v>7В 0 02 91200</v>
      </c>
      <c r="E796" s="38" t="s">
        <v>104</v>
      </c>
      <c r="F796" s="145">
        <f>'пр.4 вед.стр.'!G175</f>
        <v>27.6</v>
      </c>
      <c r="G796" s="145">
        <f>'пр.4 вед.стр.'!H175</f>
        <v>20.7</v>
      </c>
      <c r="H796" s="145">
        <f>'пр.4 вед.стр.'!I175</f>
        <v>6.9000000000000021</v>
      </c>
      <c r="I796" s="190">
        <f t="shared" si="358"/>
        <v>74.999999999999986</v>
      </c>
    </row>
    <row r="797" spans="1:9">
      <c r="A797" s="16" t="str">
        <f>'пр.4 вед.стр.'!A176</f>
        <v>Предоставление льготы по оплате жилищно- коммунальных услуг</v>
      </c>
      <c r="B797" s="20" t="s">
        <v>67</v>
      </c>
      <c r="C797" s="20" t="s">
        <v>66</v>
      </c>
      <c r="D797" s="102" t="str">
        <f>'пр.4 вед.стр.'!E176</f>
        <v>7В 0 02 91410</v>
      </c>
      <c r="E797" s="19"/>
      <c r="F797" s="145">
        <f>F798</f>
        <v>89.6</v>
      </c>
      <c r="G797" s="145">
        <f t="shared" ref="G797:H798" si="367">G798</f>
        <v>81.400000000000006</v>
      </c>
      <c r="H797" s="145">
        <f t="shared" si="367"/>
        <v>8.1999999999999886</v>
      </c>
      <c r="I797" s="190">
        <f t="shared" si="358"/>
        <v>90.848214285714306</v>
      </c>
    </row>
    <row r="798" spans="1:9">
      <c r="A798" s="16" t="str">
        <f>'пр.4 вед.стр.'!A177</f>
        <v>Социальное обеспечение и иные выплаты населению</v>
      </c>
      <c r="B798" s="20" t="s">
        <v>67</v>
      </c>
      <c r="C798" s="20" t="s">
        <v>66</v>
      </c>
      <c r="D798" s="102" t="str">
        <f>'пр.4 вед.стр.'!E177</f>
        <v>7В 0 02 91410</v>
      </c>
      <c r="E798" s="38">
        <v>300</v>
      </c>
      <c r="F798" s="145">
        <f>F799</f>
        <v>89.6</v>
      </c>
      <c r="G798" s="145">
        <f t="shared" si="367"/>
        <v>81.400000000000006</v>
      </c>
      <c r="H798" s="145">
        <f t="shared" si="367"/>
        <v>8.1999999999999886</v>
      </c>
      <c r="I798" s="190">
        <f t="shared" si="358"/>
        <v>90.848214285714306</v>
      </c>
    </row>
    <row r="799" spans="1:9">
      <c r="A799" s="16" t="str">
        <f>'пр.4 вед.стр.'!A178</f>
        <v>Иные выплаты населению</v>
      </c>
      <c r="B799" s="20" t="s">
        <v>67</v>
      </c>
      <c r="C799" s="20" t="s">
        <v>66</v>
      </c>
      <c r="D799" s="102" t="str">
        <f>'пр.4 вед.стр.'!E178</f>
        <v>7В 0 02 91410</v>
      </c>
      <c r="E799" s="38" t="s">
        <v>104</v>
      </c>
      <c r="F799" s="145">
        <f>'пр.4 вед.стр.'!G178</f>
        <v>89.6</v>
      </c>
      <c r="G799" s="145">
        <f>'пр.4 вед.стр.'!H178</f>
        <v>81.400000000000006</v>
      </c>
      <c r="H799" s="145">
        <f>'пр.4 вед.стр.'!I178</f>
        <v>8.1999999999999886</v>
      </c>
      <c r="I799" s="190">
        <f t="shared" si="358"/>
        <v>90.848214285714306</v>
      </c>
    </row>
    <row r="800" spans="1:9" ht="38.25">
      <c r="A800" s="16" t="str">
        <f>'пр.4 вед.стр.'!A179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800" s="20" t="s">
        <v>67</v>
      </c>
      <c r="C800" s="20" t="s">
        <v>66</v>
      </c>
      <c r="D800" s="102" t="str">
        <f>'пр.4 вед.стр.'!E179</f>
        <v xml:space="preserve">7Г 0 00 00000 </v>
      </c>
      <c r="E800" s="102"/>
      <c r="F800" s="145">
        <f>F805+F801</f>
        <v>29822.799999999999</v>
      </c>
      <c r="G800" s="145">
        <f t="shared" ref="G800:H800" si="368">G805+G801</f>
        <v>29819.4</v>
      </c>
      <c r="H800" s="145">
        <f t="shared" si="368"/>
        <v>3.3999999999989541</v>
      </c>
      <c r="I800" s="190">
        <f t="shared" si="358"/>
        <v>99.988599326689652</v>
      </c>
    </row>
    <row r="801" spans="1:9" ht="25.5">
      <c r="A801" s="16" t="str">
        <f>'пр.4 вед.стр.'!A180</f>
        <v>Основное мероприятие "Оптимизация системы расселения в Сусуманском городском округе"</v>
      </c>
      <c r="B801" s="20" t="s">
        <v>67</v>
      </c>
      <c r="C801" s="20" t="s">
        <v>66</v>
      </c>
      <c r="D801" s="102" t="str">
        <f>'пр.4 вед.стр.'!E180</f>
        <v xml:space="preserve">7Г 0 01 00000 </v>
      </c>
      <c r="E801" s="102"/>
      <c r="F801" s="145">
        <f>F802</f>
        <v>857.9</v>
      </c>
      <c r="G801" s="145">
        <f t="shared" ref="G801:H803" si="369">G802</f>
        <v>857.8</v>
      </c>
      <c r="H801" s="145">
        <f t="shared" si="369"/>
        <v>0.10000000000002274</v>
      </c>
      <c r="I801" s="190">
        <f t="shared" si="358"/>
        <v>99.988343629793675</v>
      </c>
    </row>
    <row r="802" spans="1:9">
      <c r="A802" s="16" t="str">
        <f>'пр.4 вед.стр.'!A181</f>
        <v xml:space="preserve">Оптимизация жилищного фонда в виде расселения </v>
      </c>
      <c r="B802" s="20" t="s">
        <v>67</v>
      </c>
      <c r="C802" s="20" t="s">
        <v>66</v>
      </c>
      <c r="D802" s="102" t="str">
        <f>'пр.4 вед.стр.'!E181</f>
        <v xml:space="preserve">7Г 0 01 96610 </v>
      </c>
      <c r="E802" s="102"/>
      <c r="F802" s="145">
        <f>F803</f>
        <v>857.9</v>
      </c>
      <c r="G802" s="145">
        <f t="shared" si="369"/>
        <v>857.8</v>
      </c>
      <c r="H802" s="145">
        <f t="shared" si="369"/>
        <v>0.10000000000002274</v>
      </c>
      <c r="I802" s="190">
        <f t="shared" si="358"/>
        <v>99.988343629793675</v>
      </c>
    </row>
    <row r="803" spans="1:9">
      <c r="A803" s="16" t="str">
        <f>'пр.4 вед.стр.'!A182</f>
        <v>Иные бюджетные ассигнования</v>
      </c>
      <c r="B803" s="20" t="s">
        <v>67</v>
      </c>
      <c r="C803" s="20" t="s">
        <v>66</v>
      </c>
      <c r="D803" s="102" t="str">
        <f>'пр.4 вед.стр.'!E182</f>
        <v xml:space="preserve">7Г 0 01 96610 </v>
      </c>
      <c r="E803" s="121">
        <v>800</v>
      </c>
      <c r="F803" s="145">
        <f>F804</f>
        <v>857.9</v>
      </c>
      <c r="G803" s="145">
        <f t="shared" si="369"/>
        <v>857.8</v>
      </c>
      <c r="H803" s="145">
        <f t="shared" si="369"/>
        <v>0.10000000000002274</v>
      </c>
      <c r="I803" s="190">
        <f t="shared" si="358"/>
        <v>99.988343629793675</v>
      </c>
    </row>
    <row r="804" spans="1:9">
      <c r="A804" s="16" t="str">
        <f>'пр.4 вед.стр.'!A183</f>
        <v>Уплата налогов, сборов и иных платежей</v>
      </c>
      <c r="B804" s="20" t="s">
        <v>67</v>
      </c>
      <c r="C804" s="20" t="s">
        <v>66</v>
      </c>
      <c r="D804" s="102" t="str">
        <f>'пр.4 вед.стр.'!E183</f>
        <v xml:space="preserve">7Г 0 01 96610 </v>
      </c>
      <c r="E804" s="121">
        <v>850</v>
      </c>
      <c r="F804" s="145">
        <f>'пр.4 вед.стр.'!G183</f>
        <v>857.9</v>
      </c>
      <c r="G804" s="145">
        <f>'пр.4 вед.стр.'!H183</f>
        <v>857.8</v>
      </c>
      <c r="H804" s="145">
        <f>'пр.4 вед.стр.'!I183</f>
        <v>0.10000000000002274</v>
      </c>
      <c r="I804" s="190">
        <f t="shared" si="358"/>
        <v>99.988343629793675</v>
      </c>
    </row>
    <row r="805" spans="1:9" ht="38.25">
      <c r="A805" s="16" t="str">
        <f>'пр.4 вед.стр.'!A184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805" s="20" t="s">
        <v>67</v>
      </c>
      <c r="C805" s="20" t="s">
        <v>66</v>
      </c>
      <c r="D805" s="102" t="str">
        <f>'пр.4 вед.стр.'!E184</f>
        <v xml:space="preserve">7Г 0 F3 00000 </v>
      </c>
      <c r="E805" s="102"/>
      <c r="F805" s="145">
        <f>F806+F811</f>
        <v>28964.899999999998</v>
      </c>
      <c r="G805" s="145">
        <f t="shared" ref="G805:H805" si="370">G806+G811</f>
        <v>28961.600000000002</v>
      </c>
      <c r="H805" s="145">
        <f t="shared" si="370"/>
        <v>3.2999999999989313</v>
      </c>
      <c r="I805" s="190">
        <f t="shared" si="358"/>
        <v>99.988606900075624</v>
      </c>
    </row>
    <row r="806" spans="1:9" ht="38.25">
      <c r="A806" s="16" t="str">
        <f>'пр.4 вед.стр.'!A185</f>
        <v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v>
      </c>
      <c r="B806" s="20" t="s">
        <v>67</v>
      </c>
      <c r="C806" s="20" t="s">
        <v>66</v>
      </c>
      <c r="D806" s="102" t="str">
        <f>'пр.4 вед.стр.'!E185</f>
        <v>7Г 0 F3 67483</v>
      </c>
      <c r="E806" s="38"/>
      <c r="F806" s="145">
        <f>F807+F809</f>
        <v>28385.599999999999</v>
      </c>
      <c r="G806" s="145">
        <f t="shared" ref="G806:H806" si="371">G807+G809</f>
        <v>28382.400000000001</v>
      </c>
      <c r="H806" s="145">
        <f t="shared" si="371"/>
        <v>3.1999999999989086</v>
      </c>
      <c r="I806" s="190">
        <f t="shared" si="358"/>
        <v>99.988726678315771</v>
      </c>
    </row>
    <row r="807" spans="1:9" ht="25.5">
      <c r="A807" s="16" t="str">
        <f>'пр.4 вед.стр.'!A186</f>
        <v>Закупка товаров, работ и услуг для обеспечения государственных (муниципальных) нужд</v>
      </c>
      <c r="B807" s="20" t="s">
        <v>67</v>
      </c>
      <c r="C807" s="20" t="s">
        <v>66</v>
      </c>
      <c r="D807" s="102" t="str">
        <f>'пр.4 вед.стр.'!E186</f>
        <v>7Г 0 F3 67483</v>
      </c>
      <c r="E807" s="97" t="s">
        <v>92</v>
      </c>
      <c r="F807" s="145">
        <f>F808</f>
        <v>14653.3</v>
      </c>
      <c r="G807" s="145">
        <f t="shared" ref="G807:H807" si="372">G808</f>
        <v>14653.3</v>
      </c>
      <c r="H807" s="145">
        <f t="shared" si="372"/>
        <v>0</v>
      </c>
      <c r="I807" s="190">
        <f t="shared" si="358"/>
        <v>100</v>
      </c>
    </row>
    <row r="808" spans="1:9" ht="25.5">
      <c r="A808" s="16" t="str">
        <f>'пр.4 вед.стр.'!A187</f>
        <v>Иные закупки товаров, работ и услуг для обеспечения государственных ( муниципальных ) нужд</v>
      </c>
      <c r="B808" s="20" t="s">
        <v>67</v>
      </c>
      <c r="C808" s="20" t="s">
        <v>66</v>
      </c>
      <c r="D808" s="102" t="str">
        <f>'пр.4 вед.стр.'!E187</f>
        <v>7Г 0 F3 67483</v>
      </c>
      <c r="E808" s="97" t="s">
        <v>89</v>
      </c>
      <c r="F808" s="145">
        <f>'пр.4 вед.стр.'!G187</f>
        <v>14653.3</v>
      </c>
      <c r="G808" s="145">
        <f>'пр.4 вед.стр.'!H187</f>
        <v>14653.3</v>
      </c>
      <c r="H808" s="145">
        <f>'пр.4 вед.стр.'!I187</f>
        <v>0</v>
      </c>
      <c r="I808" s="190">
        <f t="shared" si="358"/>
        <v>100</v>
      </c>
    </row>
    <row r="809" spans="1:9">
      <c r="A809" s="16" t="str">
        <f>'пр.4 вед.стр.'!A188</f>
        <v>Иные бюджетные ассигнования</v>
      </c>
      <c r="B809" s="20" t="s">
        <v>67</v>
      </c>
      <c r="C809" s="20" t="s">
        <v>66</v>
      </c>
      <c r="D809" s="102" t="str">
        <f>'пр.4 вед.стр.'!E188</f>
        <v>7Г 0 F3 67483</v>
      </c>
      <c r="E809" s="121">
        <v>800</v>
      </c>
      <c r="F809" s="145">
        <f>F810</f>
        <v>13732.3</v>
      </c>
      <c r="G809" s="145">
        <f t="shared" ref="G809:H809" si="373">G810</f>
        <v>13729.1</v>
      </c>
      <c r="H809" s="145">
        <f t="shared" si="373"/>
        <v>3.1999999999989086</v>
      </c>
      <c r="I809" s="190">
        <f t="shared" si="358"/>
        <v>99.9766972757659</v>
      </c>
    </row>
    <row r="810" spans="1:9">
      <c r="A810" s="16" t="str">
        <f>'пр.4 вед.стр.'!A189</f>
        <v>Уплата налогов, сборов и иных платежей</v>
      </c>
      <c r="B810" s="20" t="s">
        <v>67</v>
      </c>
      <c r="C810" s="20" t="s">
        <v>66</v>
      </c>
      <c r="D810" s="102" t="str">
        <f>'пр.4 вед.стр.'!E189</f>
        <v>7Г 0 F3 67483</v>
      </c>
      <c r="E810" s="121">
        <v>850</v>
      </c>
      <c r="F810" s="145">
        <f>'пр.4 вед.стр.'!G189</f>
        <v>13732.3</v>
      </c>
      <c r="G810" s="145">
        <f>'пр.4 вед.стр.'!H189</f>
        <v>13729.1</v>
      </c>
      <c r="H810" s="145">
        <f>'пр.4 вед.стр.'!I189</f>
        <v>3.1999999999989086</v>
      </c>
      <c r="I810" s="190">
        <f t="shared" si="358"/>
        <v>99.9766972757659</v>
      </c>
    </row>
    <row r="811" spans="1:9" ht="25.5">
      <c r="A811" s="16" t="str">
        <f>'пр.4 вед.стр.'!A190</f>
        <v>Обеспечение мероприятий по переселению граждан из аварийного жилищного фонда за счет средств субъекта Российской Федерации</v>
      </c>
      <c r="B811" s="20" t="s">
        <v>67</v>
      </c>
      <c r="C811" s="20" t="s">
        <v>66</v>
      </c>
      <c r="D811" s="102" t="str">
        <f>'пр.4 вед.стр.'!E190</f>
        <v>7Г 0 F3 67484</v>
      </c>
      <c r="E811" s="153"/>
      <c r="F811" s="145">
        <f>F812+F814</f>
        <v>579.29999999999995</v>
      </c>
      <c r="G811" s="145">
        <f t="shared" ref="G811:H811" si="374">G812+G814</f>
        <v>579.20000000000005</v>
      </c>
      <c r="H811" s="145">
        <f t="shared" si="374"/>
        <v>0.10000000000002274</v>
      </c>
      <c r="I811" s="190">
        <f t="shared" si="358"/>
        <v>99.982737786984316</v>
      </c>
    </row>
    <row r="812" spans="1:9" ht="25.5">
      <c r="A812" s="16" t="str">
        <f>'пр.4 вед.стр.'!A191</f>
        <v>Закупка товаров, работ и услуг для обеспечения государственных (муниципальных) нужд</v>
      </c>
      <c r="B812" s="20" t="s">
        <v>67</v>
      </c>
      <c r="C812" s="20" t="s">
        <v>66</v>
      </c>
      <c r="D812" s="102" t="str">
        <f>'пр.4 вед.стр.'!E191</f>
        <v>7Г 0 F3 67483</v>
      </c>
      <c r="E812" s="97" t="s">
        <v>92</v>
      </c>
      <c r="F812" s="145">
        <f>F813</f>
        <v>299</v>
      </c>
      <c r="G812" s="145">
        <f t="shared" ref="G812:H812" si="375">G813</f>
        <v>299</v>
      </c>
      <c r="H812" s="145">
        <f t="shared" si="375"/>
        <v>0</v>
      </c>
      <c r="I812" s="190">
        <f t="shared" si="358"/>
        <v>100</v>
      </c>
    </row>
    <row r="813" spans="1:9" ht="25.5">
      <c r="A813" s="16" t="str">
        <f>'пр.4 вед.стр.'!A192</f>
        <v>Иные закупки товаров, работ и услуг для обеспечения государственных ( муниципальных ) нужд</v>
      </c>
      <c r="B813" s="20" t="s">
        <v>67</v>
      </c>
      <c r="C813" s="20" t="s">
        <v>66</v>
      </c>
      <c r="D813" s="102" t="str">
        <f>'пр.4 вед.стр.'!E192</f>
        <v>7Г 0 F3 67484</v>
      </c>
      <c r="E813" s="97" t="s">
        <v>89</v>
      </c>
      <c r="F813" s="145">
        <f>'пр.4 вед.стр.'!G192</f>
        <v>299</v>
      </c>
      <c r="G813" s="145">
        <f>'пр.4 вед.стр.'!H192</f>
        <v>299</v>
      </c>
      <c r="H813" s="145">
        <f>'пр.4 вед.стр.'!I192</f>
        <v>0</v>
      </c>
      <c r="I813" s="190">
        <f t="shared" si="358"/>
        <v>100</v>
      </c>
    </row>
    <row r="814" spans="1:9">
      <c r="A814" s="16" t="str">
        <f>'пр.4 вед.стр.'!A193</f>
        <v>Иные бюджетные ассигнования</v>
      </c>
      <c r="B814" s="20" t="s">
        <v>67</v>
      </c>
      <c r="C814" s="20" t="s">
        <v>66</v>
      </c>
      <c r="D814" s="102" t="str">
        <f>'пр.4 вед.стр.'!E193</f>
        <v>7Г 0 F3 67484</v>
      </c>
      <c r="E814" s="121">
        <v>800</v>
      </c>
      <c r="F814" s="145">
        <f>F815</f>
        <v>280.3</v>
      </c>
      <c r="G814" s="145">
        <f t="shared" ref="G814:H814" si="376">G815</f>
        <v>280.2</v>
      </c>
      <c r="H814" s="145">
        <f t="shared" si="376"/>
        <v>0.10000000000002274</v>
      </c>
      <c r="I814" s="190">
        <f t="shared" si="358"/>
        <v>99.964323938637165</v>
      </c>
    </row>
    <row r="815" spans="1:9">
      <c r="A815" s="16" t="str">
        <f>'пр.4 вед.стр.'!A194</f>
        <v>Уплата налогов, сборов и иных платежей</v>
      </c>
      <c r="B815" s="20" t="s">
        <v>67</v>
      </c>
      <c r="C815" s="20" t="s">
        <v>66</v>
      </c>
      <c r="D815" s="102" t="str">
        <f>'пр.4 вед.стр.'!E194</f>
        <v>7Г 0 F3 67484</v>
      </c>
      <c r="E815" s="121">
        <v>850</v>
      </c>
      <c r="F815" s="145">
        <f>'пр.4 вед.стр.'!G194</f>
        <v>280.3</v>
      </c>
      <c r="G815" s="145">
        <f>'пр.4 вед.стр.'!H194</f>
        <v>280.2</v>
      </c>
      <c r="H815" s="145">
        <f>'пр.4 вед.стр.'!I194</f>
        <v>0.10000000000002274</v>
      </c>
      <c r="I815" s="190">
        <f t="shared" si="358"/>
        <v>99.964323938637165</v>
      </c>
    </row>
    <row r="816" spans="1:9" ht="25.5">
      <c r="A816" s="28" t="str">
        <f>'пр.4 вед.стр.'!A816</f>
        <v>Муниципальная программа "Обеспечение жильем молодых семей  в Сусуманском городском округе  на 2018- 2022 годы"</v>
      </c>
      <c r="B816" s="20" t="s">
        <v>67</v>
      </c>
      <c r="C816" s="20" t="s">
        <v>66</v>
      </c>
      <c r="D816" s="102" t="str">
        <f>'пр.4 вед.стр.'!E816</f>
        <v xml:space="preserve">7Ж 0 00 00000 </v>
      </c>
      <c r="E816" s="97"/>
      <c r="F816" s="59">
        <f>F817</f>
        <v>67.7</v>
      </c>
      <c r="G816" s="59">
        <f t="shared" ref="G816:H819" si="377">G817</f>
        <v>67.7</v>
      </c>
      <c r="H816" s="59">
        <f t="shared" si="377"/>
        <v>0</v>
      </c>
      <c r="I816" s="190">
        <f t="shared" si="358"/>
        <v>100</v>
      </c>
    </row>
    <row r="817" spans="1:9" ht="25.5">
      <c r="A817" s="28" t="str">
        <f>'пр.4 вед.стр.'!A817</f>
        <v>Основное мероприятие "Улучшение жилищных условий молодых семей"</v>
      </c>
      <c r="B817" s="20" t="s">
        <v>67</v>
      </c>
      <c r="C817" s="20" t="s">
        <v>66</v>
      </c>
      <c r="D817" s="102" t="str">
        <f>'пр.4 вед.стр.'!E817</f>
        <v xml:space="preserve">7Ж 0 01 00000 </v>
      </c>
      <c r="E817" s="97"/>
      <c r="F817" s="59">
        <f>F818</f>
        <v>67.7</v>
      </c>
      <c r="G817" s="59">
        <f t="shared" si="377"/>
        <v>67.7</v>
      </c>
      <c r="H817" s="59">
        <f t="shared" si="377"/>
        <v>0</v>
      </c>
      <c r="I817" s="190">
        <f t="shared" si="358"/>
        <v>100</v>
      </c>
    </row>
    <row r="818" spans="1:9" ht="25.5">
      <c r="A818" s="28" t="str">
        <f>'пр.4 вед.стр.'!A818</f>
        <v>Дополнительная социальная выплата молодым семьям при рождении (усыновлении) каждого ребенка</v>
      </c>
      <c r="B818" s="20" t="s">
        <v>67</v>
      </c>
      <c r="C818" s="20" t="s">
        <v>66</v>
      </c>
      <c r="D818" s="102" t="str">
        <f>'пр.4 вед.стр.'!E818</f>
        <v>7Ж 0 01 73070</v>
      </c>
      <c r="E818" s="97"/>
      <c r="F818" s="59">
        <f>F819</f>
        <v>67.7</v>
      </c>
      <c r="G818" s="59">
        <f t="shared" si="377"/>
        <v>67.7</v>
      </c>
      <c r="H818" s="59">
        <f t="shared" si="377"/>
        <v>0</v>
      </c>
      <c r="I818" s="190">
        <f t="shared" si="358"/>
        <v>100</v>
      </c>
    </row>
    <row r="819" spans="1:9">
      <c r="A819" s="28" t="str">
        <f>'пр.4 вед.стр.'!A819</f>
        <v>Социальное обеспечение и иные выплаты населению</v>
      </c>
      <c r="B819" s="20" t="s">
        <v>67</v>
      </c>
      <c r="C819" s="20" t="s">
        <v>66</v>
      </c>
      <c r="D819" s="102" t="str">
        <f>'пр.4 вед.стр.'!E819</f>
        <v>7Ж 0 01 73070</v>
      </c>
      <c r="E819" s="97" t="s">
        <v>100</v>
      </c>
      <c r="F819" s="59">
        <f>F820</f>
        <v>67.7</v>
      </c>
      <c r="G819" s="59">
        <f t="shared" si="377"/>
        <v>67.7</v>
      </c>
      <c r="H819" s="59">
        <f t="shared" si="377"/>
        <v>0</v>
      </c>
      <c r="I819" s="190">
        <f t="shared" si="358"/>
        <v>100</v>
      </c>
    </row>
    <row r="820" spans="1:9" ht="25.5">
      <c r="A820" s="28" t="str">
        <f>'пр.4 вед.стр.'!A820</f>
        <v>Социальные выплаты гражданам, кроме публичных нормативных социальных выплат</v>
      </c>
      <c r="B820" s="20" t="s">
        <v>67</v>
      </c>
      <c r="C820" s="20" t="s">
        <v>66</v>
      </c>
      <c r="D820" s="102" t="str">
        <f>'пр.4 вед.стр.'!E820</f>
        <v>7Ж 0 01 73070</v>
      </c>
      <c r="E820" s="97" t="s">
        <v>113</v>
      </c>
      <c r="F820" s="59">
        <f>'пр.4 вед.стр.'!G820</f>
        <v>67.7</v>
      </c>
      <c r="G820" s="59">
        <f>'пр.4 вед.стр.'!H820</f>
        <v>67.7</v>
      </c>
      <c r="H820" s="59">
        <f>'пр.4 вед.стр.'!I820</f>
        <v>0</v>
      </c>
      <c r="I820" s="190">
        <f t="shared" si="358"/>
        <v>100</v>
      </c>
    </row>
    <row r="821" spans="1:9">
      <c r="A821" s="28" t="str">
        <f>'пр.4 вед.стр.'!A195</f>
        <v xml:space="preserve">Мероприятия по благоустройству </v>
      </c>
      <c r="B821" s="20" t="s">
        <v>67</v>
      </c>
      <c r="C821" s="20" t="s">
        <v>66</v>
      </c>
      <c r="D821" s="102" t="str">
        <f>'пр.4 вед.стр.'!E195</f>
        <v>К2 0 00 00000</v>
      </c>
      <c r="E821" s="97"/>
      <c r="F821" s="59">
        <f>F822</f>
        <v>6194.3</v>
      </c>
      <c r="G821" s="59">
        <f t="shared" ref="G821:H823" si="378">G822</f>
        <v>6194.3</v>
      </c>
      <c r="H821" s="59">
        <f t="shared" si="378"/>
        <v>0</v>
      </c>
      <c r="I821" s="190">
        <f t="shared" si="358"/>
        <v>100</v>
      </c>
    </row>
    <row r="822" spans="1:9" ht="38.25">
      <c r="A822" s="28" t="str">
        <f>'пр.4 вед.стр.'!A196</f>
        <v>Расселение жителей из аварийного многоквартирного дома, расположенного по адресу: ул.Строителей, д.17,г.Сусуман, Сусуманский городской округ</v>
      </c>
      <c r="B822" s="20" t="s">
        <v>67</v>
      </c>
      <c r="C822" s="20" t="s">
        <v>66</v>
      </c>
      <c r="D822" s="102" t="str">
        <f>'пр.4 вед.стр.'!E196</f>
        <v>К2 0 00 50100</v>
      </c>
      <c r="E822" s="97"/>
      <c r="F822" s="59">
        <f>F823</f>
        <v>6194.3</v>
      </c>
      <c r="G822" s="59">
        <f t="shared" si="378"/>
        <v>6194.3</v>
      </c>
      <c r="H822" s="59">
        <f t="shared" si="378"/>
        <v>0</v>
      </c>
      <c r="I822" s="190">
        <f t="shared" si="358"/>
        <v>100</v>
      </c>
    </row>
    <row r="823" spans="1:9">
      <c r="A823" s="28" t="str">
        <f>'пр.4 вед.стр.'!A197</f>
        <v>Иные бюджетные ассигнования</v>
      </c>
      <c r="B823" s="20" t="s">
        <v>67</v>
      </c>
      <c r="C823" s="20" t="s">
        <v>66</v>
      </c>
      <c r="D823" s="102" t="str">
        <f>'пр.4 вед.стр.'!E197</f>
        <v>К2 0 00 50100</v>
      </c>
      <c r="E823" s="121">
        <v>800</v>
      </c>
      <c r="F823" s="59">
        <f>F824</f>
        <v>6194.3</v>
      </c>
      <c r="G823" s="59">
        <f t="shared" si="378"/>
        <v>6194.3</v>
      </c>
      <c r="H823" s="59">
        <f t="shared" si="378"/>
        <v>0</v>
      </c>
      <c r="I823" s="190">
        <f t="shared" si="358"/>
        <v>100</v>
      </c>
    </row>
    <row r="824" spans="1:9">
      <c r="A824" s="28" t="str">
        <f>'пр.4 вед.стр.'!A198</f>
        <v>Уплата налогов, сборов и иных платежей</v>
      </c>
      <c r="B824" s="20" t="s">
        <v>67</v>
      </c>
      <c r="C824" s="20" t="s">
        <v>66</v>
      </c>
      <c r="D824" s="102" t="str">
        <f>'пр.4 вед.стр.'!E198</f>
        <v>К2 0 00 50100</v>
      </c>
      <c r="E824" s="121">
        <v>850</v>
      </c>
      <c r="F824" s="59">
        <f>'пр.4 вед.стр.'!G198</f>
        <v>6194.3</v>
      </c>
      <c r="G824" s="59">
        <f>'пр.4 вед.стр.'!H198</f>
        <v>6194.3</v>
      </c>
      <c r="H824" s="59">
        <f>'пр.4 вед.стр.'!I198</f>
        <v>0</v>
      </c>
      <c r="I824" s="190">
        <f t="shared" si="358"/>
        <v>100</v>
      </c>
    </row>
    <row r="825" spans="1:9">
      <c r="A825" s="15" t="s">
        <v>127</v>
      </c>
      <c r="B825" s="31" t="s">
        <v>67</v>
      </c>
      <c r="C825" s="31" t="s">
        <v>72</v>
      </c>
      <c r="D825" s="100"/>
      <c r="E825" s="100"/>
      <c r="F825" s="144">
        <f>F826+F842</f>
        <v>3441.7999999999997</v>
      </c>
      <c r="G825" s="144">
        <f t="shared" ref="G825:H825" si="379">G826+G842</f>
        <v>3089.0999999999995</v>
      </c>
      <c r="H825" s="144">
        <f t="shared" si="379"/>
        <v>352.69999999999993</v>
      </c>
      <c r="I825" s="190">
        <f t="shared" si="358"/>
        <v>89.752455110697881</v>
      </c>
    </row>
    <row r="826" spans="1:9">
      <c r="A826" s="16" t="s">
        <v>430</v>
      </c>
      <c r="B826" s="20" t="s">
        <v>67</v>
      </c>
      <c r="C826" s="20" t="s">
        <v>72</v>
      </c>
      <c r="D826" s="102" t="s">
        <v>431</v>
      </c>
      <c r="E826" s="100"/>
      <c r="F826" s="145">
        <f>F827+F834</f>
        <v>2668.7999999999997</v>
      </c>
      <c r="G826" s="145">
        <f t="shared" ref="G826:H826" si="380">G827+G834</f>
        <v>2668.7999999999997</v>
      </c>
      <c r="H826" s="145">
        <f t="shared" si="380"/>
        <v>0</v>
      </c>
      <c r="I826" s="190">
        <f t="shared" si="358"/>
        <v>100</v>
      </c>
    </row>
    <row r="827" spans="1:9" ht="25.5">
      <c r="A827" s="28" t="str">
        <f>'пр.4 вед.стр.'!A201</f>
        <v>Муниципальная  программа  "Развитие образования в Сусуманском городском округе  на 2018- 2022 годы"</v>
      </c>
      <c r="B827" s="20" t="s">
        <v>67</v>
      </c>
      <c r="C827" s="20" t="s">
        <v>72</v>
      </c>
      <c r="D827" s="97" t="str">
        <f>'пр.4 вед.стр.'!E201</f>
        <v xml:space="preserve">7Р 0 00 00000 </v>
      </c>
      <c r="E827" s="97"/>
      <c r="F827" s="59">
        <f>F828</f>
        <v>2603.8999999999996</v>
      </c>
      <c r="G827" s="59">
        <f t="shared" ref="G827:H828" si="381">G828</f>
        <v>2603.8999999999996</v>
      </c>
      <c r="H827" s="59">
        <f t="shared" si="381"/>
        <v>0</v>
      </c>
      <c r="I827" s="190">
        <f t="shared" si="358"/>
        <v>100</v>
      </c>
    </row>
    <row r="828" spans="1:9" ht="38.25">
      <c r="A828" s="16" t="str">
        <f>'пр.4 вед.стр.'!A202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828" s="20" t="s">
        <v>67</v>
      </c>
      <c r="C828" s="20" t="s">
        <v>72</v>
      </c>
      <c r="D828" s="97" t="str">
        <f>'пр.4 вед.стр.'!E202</f>
        <v>7Р 0 04 00000</v>
      </c>
      <c r="E828" s="97"/>
      <c r="F828" s="59">
        <f>F829</f>
        <v>2603.8999999999996</v>
      </c>
      <c r="G828" s="59">
        <f t="shared" si="381"/>
        <v>2603.8999999999996</v>
      </c>
      <c r="H828" s="59">
        <f t="shared" si="381"/>
        <v>0</v>
      </c>
      <c r="I828" s="190">
        <f t="shared" si="358"/>
        <v>100</v>
      </c>
    </row>
    <row r="829" spans="1:9" ht="25.5">
      <c r="A829" s="16" t="str">
        <f>'пр.4 вед.стр.'!A203</f>
        <v xml:space="preserve">Осуществление государственных полномочий по организации и осуществлению деятельности по опеке и попечительству </v>
      </c>
      <c r="B829" s="20" t="s">
        <v>67</v>
      </c>
      <c r="C829" s="20" t="s">
        <v>72</v>
      </c>
      <c r="D829" s="97" t="str">
        <f>'пр.4 вед.стр.'!E203</f>
        <v>7Р 0 04 74090</v>
      </c>
      <c r="E829" s="97"/>
      <c r="F829" s="59">
        <f>F830+F832</f>
        <v>2603.8999999999996</v>
      </c>
      <c r="G829" s="59">
        <f t="shared" ref="G829:H829" si="382">G830+G832</f>
        <v>2603.8999999999996</v>
      </c>
      <c r="H829" s="59">
        <f t="shared" si="382"/>
        <v>0</v>
      </c>
      <c r="I829" s="190">
        <f t="shared" si="358"/>
        <v>100</v>
      </c>
    </row>
    <row r="830" spans="1:9" ht="51">
      <c r="A830" s="16" t="str">
        <f>'пр.4 вед.стр.'!A204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0" s="20" t="s">
        <v>67</v>
      </c>
      <c r="C830" s="20" t="s">
        <v>72</v>
      </c>
      <c r="D830" s="97" t="str">
        <f>'пр.4 вед.стр.'!E204</f>
        <v>7Р 0 04 74090</v>
      </c>
      <c r="E830" s="97" t="s">
        <v>91</v>
      </c>
      <c r="F830" s="59">
        <f>F831</f>
        <v>2320.1999999999998</v>
      </c>
      <c r="G830" s="59">
        <f t="shared" ref="G830:H830" si="383">G831</f>
        <v>2320.1999999999998</v>
      </c>
      <c r="H830" s="59">
        <f t="shared" si="383"/>
        <v>0</v>
      </c>
      <c r="I830" s="190">
        <f t="shared" si="358"/>
        <v>100</v>
      </c>
    </row>
    <row r="831" spans="1:9" ht="25.5">
      <c r="A831" s="16" t="str">
        <f>'пр.4 вед.стр.'!A205</f>
        <v>Расходы на выплаты персоналу государственных (муниципальных) органов</v>
      </c>
      <c r="B831" s="20" t="s">
        <v>67</v>
      </c>
      <c r="C831" s="20" t="s">
        <v>72</v>
      </c>
      <c r="D831" s="97" t="str">
        <f>'пр.4 вед.стр.'!E205</f>
        <v>7Р 0 04 74090</v>
      </c>
      <c r="E831" s="97" t="s">
        <v>88</v>
      </c>
      <c r="F831" s="59">
        <f>'пр.4 вед.стр.'!G205</f>
        <v>2320.1999999999998</v>
      </c>
      <c r="G831" s="59">
        <f>'пр.4 вед.стр.'!H205</f>
        <v>2320.1999999999998</v>
      </c>
      <c r="H831" s="59">
        <f>'пр.4 вед.стр.'!I205</f>
        <v>0</v>
      </c>
      <c r="I831" s="190">
        <f t="shared" si="358"/>
        <v>100</v>
      </c>
    </row>
    <row r="832" spans="1:9" ht="25.5">
      <c r="A832" s="16" t="str">
        <f>'пр.4 вед.стр.'!A206</f>
        <v>Закупка товаров, работ и услуг для обеспечения государственных (муниципальных) нужд</v>
      </c>
      <c r="B832" s="20" t="s">
        <v>67</v>
      </c>
      <c r="C832" s="20" t="s">
        <v>72</v>
      </c>
      <c r="D832" s="97" t="str">
        <f>'пр.4 вед.стр.'!E206</f>
        <v>7Р 0 04 74090</v>
      </c>
      <c r="E832" s="97" t="s">
        <v>92</v>
      </c>
      <c r="F832" s="59">
        <f>F833</f>
        <v>283.7</v>
      </c>
      <c r="G832" s="59">
        <f t="shared" ref="G832:H832" si="384">G833</f>
        <v>283.7</v>
      </c>
      <c r="H832" s="59">
        <f t="shared" si="384"/>
        <v>0</v>
      </c>
      <c r="I832" s="190">
        <f t="shared" si="358"/>
        <v>100</v>
      </c>
    </row>
    <row r="833" spans="1:9" ht="25.5">
      <c r="A833" s="16" t="s">
        <v>556</v>
      </c>
      <c r="B833" s="20" t="s">
        <v>67</v>
      </c>
      <c r="C833" s="20" t="s">
        <v>72</v>
      </c>
      <c r="D833" s="97" t="str">
        <f>'пр.4 вед.стр.'!E207</f>
        <v>7Р 0 04 74090</v>
      </c>
      <c r="E833" s="97" t="s">
        <v>89</v>
      </c>
      <c r="F833" s="59">
        <f>'пр.4 вед.стр.'!G207</f>
        <v>283.7</v>
      </c>
      <c r="G833" s="59">
        <f>'пр.4 вед.стр.'!H207</f>
        <v>283.7</v>
      </c>
      <c r="H833" s="59">
        <f>'пр.4 вед.стр.'!I207</f>
        <v>0</v>
      </c>
      <c r="I833" s="190">
        <f t="shared" si="358"/>
        <v>100</v>
      </c>
    </row>
    <row r="834" spans="1:9" ht="51">
      <c r="A834" s="16" t="str">
        <f>'пр.4 вед.стр.'!A208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834" s="20" t="s">
        <v>67</v>
      </c>
      <c r="C834" s="20" t="s">
        <v>72</v>
      </c>
      <c r="D834" s="97" t="str">
        <f>'пр.4 вед.стр.'!E208</f>
        <v>7L 0 00 00000</v>
      </c>
      <c r="E834" s="97"/>
      <c r="F834" s="59">
        <f>F835</f>
        <v>64.900000000000006</v>
      </c>
      <c r="G834" s="59">
        <f t="shared" ref="G834:H834" si="385">G835</f>
        <v>64.900000000000006</v>
      </c>
      <c r="H834" s="59">
        <f t="shared" si="385"/>
        <v>0</v>
      </c>
      <c r="I834" s="190">
        <f t="shared" si="358"/>
        <v>100</v>
      </c>
    </row>
    <row r="835" spans="1:9" ht="25.5">
      <c r="A835" s="28" t="str">
        <f>'пр.4 вед.стр.'!A209</f>
        <v>Основное мероприятие "Оказание финансовой поддержки деятельности социально ориентированных некоммерческих организаций"</v>
      </c>
      <c r="B835" s="20" t="s">
        <v>67</v>
      </c>
      <c r="C835" s="20" t="s">
        <v>72</v>
      </c>
      <c r="D835" s="97" t="str">
        <f>'пр.4 вед.стр.'!E209</f>
        <v>7L 0 01 00000</v>
      </c>
      <c r="E835" s="97"/>
      <c r="F835" s="59">
        <f>F836+F839</f>
        <v>64.900000000000006</v>
      </c>
      <c r="G835" s="59">
        <f t="shared" ref="G835:H835" si="386">G836+G839</f>
        <v>64.900000000000006</v>
      </c>
      <c r="H835" s="59">
        <f t="shared" si="386"/>
        <v>0</v>
      </c>
      <c r="I835" s="190">
        <f t="shared" si="358"/>
        <v>100</v>
      </c>
    </row>
    <row r="836" spans="1:9" ht="25.5">
      <c r="A836" s="28" t="str">
        <f>'пр.4 вед.стр.'!A210</f>
        <v>Поддержка деятельности социально ориентированных некоммерческих организаций за счет средств из областного бюджета</v>
      </c>
      <c r="B836" s="20" t="s">
        <v>67</v>
      </c>
      <c r="C836" s="20" t="s">
        <v>72</v>
      </c>
      <c r="D836" s="97" t="str">
        <f>'пр.4 вед.стр.'!E210</f>
        <v>7L 0 01 73280</v>
      </c>
      <c r="E836" s="97"/>
      <c r="F836" s="59">
        <f>F837</f>
        <v>34.9</v>
      </c>
      <c r="G836" s="59">
        <f t="shared" ref="G836:H837" si="387">G837</f>
        <v>34.9</v>
      </c>
      <c r="H836" s="59">
        <f t="shared" si="387"/>
        <v>0</v>
      </c>
      <c r="I836" s="190">
        <f t="shared" si="358"/>
        <v>100</v>
      </c>
    </row>
    <row r="837" spans="1:9" ht="25.5">
      <c r="A837" s="28" t="str">
        <f>'пр.4 вед.стр.'!A211</f>
        <v>Предоставление субсидий бюджетным, автономным учреждениям и иным некоммерческим организациям</v>
      </c>
      <c r="B837" s="20" t="s">
        <v>67</v>
      </c>
      <c r="C837" s="20" t="s">
        <v>72</v>
      </c>
      <c r="D837" s="97" t="str">
        <f>'пр.4 вед.стр.'!E211</f>
        <v>7L 0 01 73280</v>
      </c>
      <c r="E837" s="97" t="str">
        <f>'пр.4 вед.стр.'!F211</f>
        <v>600</v>
      </c>
      <c r="F837" s="59">
        <f>F838</f>
        <v>34.9</v>
      </c>
      <c r="G837" s="59">
        <f t="shared" si="387"/>
        <v>34.9</v>
      </c>
      <c r="H837" s="59">
        <f t="shared" si="387"/>
        <v>0</v>
      </c>
      <c r="I837" s="190">
        <f t="shared" si="358"/>
        <v>100</v>
      </c>
    </row>
    <row r="838" spans="1:9" ht="38.25">
      <c r="A838" s="28" t="str">
        <f>'пр.4 вед.стр.'!A212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38" s="20" t="s">
        <v>67</v>
      </c>
      <c r="C838" s="20" t="s">
        <v>72</v>
      </c>
      <c r="D838" s="97" t="str">
        <f>'пр.4 вед.стр.'!E212</f>
        <v>7L 0 01 73280</v>
      </c>
      <c r="E838" s="121">
        <f>'пр.4 вед.стр.'!F212</f>
        <v>630</v>
      </c>
      <c r="F838" s="59">
        <f>'пр.4 вед.стр.'!G212</f>
        <v>34.9</v>
      </c>
      <c r="G838" s="59">
        <f>'пр.4 вед.стр.'!H212</f>
        <v>34.9</v>
      </c>
      <c r="H838" s="59">
        <f>'пр.4 вед.стр.'!I212</f>
        <v>0</v>
      </c>
      <c r="I838" s="190">
        <f t="shared" si="358"/>
        <v>100</v>
      </c>
    </row>
    <row r="839" spans="1:9" ht="25.5">
      <c r="A839" s="28" t="str">
        <f>'пр.4 вед.стр.'!A213</f>
        <v>Поддержка деятельности социально ориентированных некоммерческих организаций</v>
      </c>
      <c r="B839" s="20" t="s">
        <v>67</v>
      </c>
      <c r="C839" s="20" t="s">
        <v>72</v>
      </c>
      <c r="D839" s="97" t="str">
        <f>'пр.4 вед.стр.'!E213</f>
        <v>7L 0 01 91700</v>
      </c>
      <c r="E839" s="97"/>
      <c r="F839" s="59">
        <f>F840</f>
        <v>30</v>
      </c>
      <c r="G839" s="59">
        <f t="shared" ref="G839:H840" si="388">G840</f>
        <v>30</v>
      </c>
      <c r="H839" s="59">
        <f t="shared" si="388"/>
        <v>0</v>
      </c>
      <c r="I839" s="190">
        <f t="shared" si="358"/>
        <v>100</v>
      </c>
    </row>
    <row r="840" spans="1:9" ht="25.5">
      <c r="A840" s="28" t="str">
        <f>'пр.4 вед.стр.'!A214</f>
        <v>Предоставление субсидий бюджетным, автономным учреждениям и иным некоммерческим организациям</v>
      </c>
      <c r="B840" s="20" t="s">
        <v>67</v>
      </c>
      <c r="C840" s="20" t="s">
        <v>72</v>
      </c>
      <c r="D840" s="97" t="str">
        <f>'пр.4 вед.стр.'!E214</f>
        <v>7L 0 01 91700</v>
      </c>
      <c r="E840" s="97" t="str">
        <f>'пр.4 вед.стр.'!F214</f>
        <v>600</v>
      </c>
      <c r="F840" s="59">
        <f>F841</f>
        <v>30</v>
      </c>
      <c r="G840" s="59">
        <f t="shared" si="388"/>
        <v>30</v>
      </c>
      <c r="H840" s="59">
        <f t="shared" si="388"/>
        <v>0</v>
      </c>
      <c r="I840" s="190">
        <f t="shared" si="358"/>
        <v>100</v>
      </c>
    </row>
    <row r="841" spans="1:9" ht="38.25">
      <c r="A841" s="28" t="str">
        <f>'пр.4 вед.стр.'!A215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41" s="20" t="s">
        <v>67</v>
      </c>
      <c r="C841" s="20" t="s">
        <v>72</v>
      </c>
      <c r="D841" s="97" t="str">
        <f>'пр.4 вед.стр.'!E215</f>
        <v>7L 0 01 91700</v>
      </c>
      <c r="E841" s="121">
        <f>'пр.4 вед.стр.'!F215</f>
        <v>630</v>
      </c>
      <c r="F841" s="59">
        <f>'пр.4 вед.стр.'!G214</f>
        <v>30</v>
      </c>
      <c r="G841" s="59">
        <f>'пр.4 вед.стр.'!H214</f>
        <v>30</v>
      </c>
      <c r="H841" s="59">
        <f>'пр.4 вед.стр.'!I214</f>
        <v>0</v>
      </c>
      <c r="I841" s="190">
        <f t="shared" si="358"/>
        <v>100</v>
      </c>
    </row>
    <row r="842" spans="1:9" ht="38.25">
      <c r="A842" s="104" t="str">
        <f>'пр.4 вед.стр.'!A216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842" s="20" t="s">
        <v>67</v>
      </c>
      <c r="C842" s="20" t="s">
        <v>72</v>
      </c>
      <c r="D842" s="97" t="s">
        <v>416</v>
      </c>
      <c r="E842" s="97"/>
      <c r="F842" s="145">
        <f>F843</f>
        <v>773</v>
      </c>
      <c r="G842" s="145">
        <f t="shared" ref="G842:H843" si="389">G843</f>
        <v>420.29999999999995</v>
      </c>
      <c r="H842" s="145">
        <f t="shared" si="389"/>
        <v>352.69999999999993</v>
      </c>
      <c r="I842" s="190">
        <f t="shared" ref="I842:I905" si="390">G842/F842*100</f>
        <v>54.372574385510987</v>
      </c>
    </row>
    <row r="843" spans="1:9" ht="25.5">
      <c r="A843" s="16" t="s">
        <v>438</v>
      </c>
      <c r="B843" s="20" t="s">
        <v>67</v>
      </c>
      <c r="C843" s="20" t="s">
        <v>72</v>
      </c>
      <c r="D843" s="97" t="str">
        <f>'пр.4 вед.стр.'!E217</f>
        <v>Р1 6 00 00000</v>
      </c>
      <c r="E843" s="97"/>
      <c r="F843" s="145">
        <f>F844</f>
        <v>773</v>
      </c>
      <c r="G843" s="145">
        <f t="shared" si="389"/>
        <v>420.29999999999995</v>
      </c>
      <c r="H843" s="145">
        <f t="shared" si="389"/>
        <v>352.69999999999993</v>
      </c>
      <c r="I843" s="190">
        <f t="shared" si="390"/>
        <v>54.372574385510987</v>
      </c>
    </row>
    <row r="844" spans="1:9" ht="25.5">
      <c r="A844" s="16" t="str">
        <f>'пр.4 вед.стр.'!A218</f>
        <v>Осуществление государственных полномочий по организации и осуществлению деятельности по опеке и попечительству</v>
      </c>
      <c r="B844" s="20" t="s">
        <v>67</v>
      </c>
      <c r="C844" s="20" t="s">
        <v>72</v>
      </c>
      <c r="D844" s="97" t="str">
        <f>'пр.4 вед.стр.'!E218</f>
        <v>Р1 6 00  74090</v>
      </c>
      <c r="E844" s="97"/>
      <c r="F844" s="145">
        <f>F845+F847</f>
        <v>773</v>
      </c>
      <c r="G844" s="145">
        <f t="shared" ref="G844:H844" si="391">G845+G847</f>
        <v>420.29999999999995</v>
      </c>
      <c r="H844" s="145">
        <f t="shared" si="391"/>
        <v>352.69999999999993</v>
      </c>
      <c r="I844" s="190">
        <f t="shared" si="390"/>
        <v>54.372574385510987</v>
      </c>
    </row>
    <row r="845" spans="1:9" ht="51">
      <c r="A845" s="16" t="s">
        <v>90</v>
      </c>
      <c r="B845" s="20" t="s">
        <v>67</v>
      </c>
      <c r="C845" s="20" t="s">
        <v>72</v>
      </c>
      <c r="D845" s="97" t="str">
        <f>'пр.4 вед.стр.'!E219</f>
        <v>Р1 6 00  74090</v>
      </c>
      <c r="E845" s="97" t="s">
        <v>91</v>
      </c>
      <c r="F845" s="59">
        <f>F846</f>
        <v>564.29999999999995</v>
      </c>
      <c r="G845" s="59">
        <f t="shared" ref="G845:H845" si="392">G846</f>
        <v>230.6</v>
      </c>
      <c r="H845" s="59">
        <f t="shared" si="392"/>
        <v>333.69999999999993</v>
      </c>
      <c r="I845" s="190">
        <f t="shared" si="390"/>
        <v>40.864788233209289</v>
      </c>
    </row>
    <row r="846" spans="1:9" ht="25.5">
      <c r="A846" s="16" t="s">
        <v>87</v>
      </c>
      <c r="B846" s="20" t="s">
        <v>67</v>
      </c>
      <c r="C846" s="20" t="s">
        <v>72</v>
      </c>
      <c r="D846" s="97" t="str">
        <f>'пр.4 вед.стр.'!E220</f>
        <v>Р1 6 00  74090</v>
      </c>
      <c r="E846" s="97" t="s">
        <v>88</v>
      </c>
      <c r="F846" s="59">
        <f>'пр.4 вед.стр.'!G220</f>
        <v>564.29999999999995</v>
      </c>
      <c r="G846" s="59">
        <f>'пр.4 вед.стр.'!H220</f>
        <v>230.6</v>
      </c>
      <c r="H846" s="59">
        <f>'пр.4 вед.стр.'!I220</f>
        <v>333.69999999999993</v>
      </c>
      <c r="I846" s="190">
        <f t="shared" si="390"/>
        <v>40.864788233209289</v>
      </c>
    </row>
    <row r="847" spans="1:9" ht="25.5">
      <c r="A847" s="16" t="s">
        <v>331</v>
      </c>
      <c r="B847" s="20" t="s">
        <v>67</v>
      </c>
      <c r="C847" s="20" t="s">
        <v>72</v>
      </c>
      <c r="D847" s="97" t="str">
        <f>'пр.4 вед.стр.'!E221</f>
        <v>Р1 6 00  74090</v>
      </c>
      <c r="E847" s="97" t="s">
        <v>92</v>
      </c>
      <c r="F847" s="59">
        <f>F848</f>
        <v>208.7</v>
      </c>
      <c r="G847" s="59">
        <f t="shared" ref="G847:H847" si="393">G848</f>
        <v>189.7</v>
      </c>
      <c r="H847" s="59">
        <f t="shared" si="393"/>
        <v>19</v>
      </c>
      <c r="I847" s="190">
        <f t="shared" si="390"/>
        <v>90.896022999520838</v>
      </c>
    </row>
    <row r="848" spans="1:9" ht="25.5">
      <c r="A848" s="16" t="s">
        <v>556</v>
      </c>
      <c r="B848" s="20" t="s">
        <v>67</v>
      </c>
      <c r="C848" s="20" t="s">
        <v>72</v>
      </c>
      <c r="D848" s="97" t="str">
        <f>'пр.4 вед.стр.'!E222</f>
        <v>Р1 6 00  74090</v>
      </c>
      <c r="E848" s="97" t="s">
        <v>89</v>
      </c>
      <c r="F848" s="59">
        <f>'пр.4 вед.стр.'!G222</f>
        <v>208.7</v>
      </c>
      <c r="G848" s="59">
        <f>'пр.4 вед.стр.'!H222</f>
        <v>189.7</v>
      </c>
      <c r="H848" s="59">
        <f>'пр.4 вед.стр.'!I222</f>
        <v>19</v>
      </c>
      <c r="I848" s="190">
        <f t="shared" si="390"/>
        <v>90.896022999520838</v>
      </c>
    </row>
    <row r="849" spans="1:9">
      <c r="A849" s="15" t="s">
        <v>79</v>
      </c>
      <c r="B849" s="31" t="s">
        <v>70</v>
      </c>
      <c r="C849" s="31" t="s">
        <v>33</v>
      </c>
      <c r="D849" s="97"/>
      <c r="E849" s="97"/>
      <c r="F849" s="143">
        <f>F850</f>
        <v>29991.300000000003</v>
      </c>
      <c r="G849" s="143">
        <f t="shared" ref="G849:H849" si="394">G850</f>
        <v>29452.200000000004</v>
      </c>
      <c r="H849" s="143">
        <f t="shared" si="394"/>
        <v>539.1000000000007</v>
      </c>
      <c r="I849" s="190">
        <f t="shared" si="390"/>
        <v>98.202478718828473</v>
      </c>
    </row>
    <row r="850" spans="1:9">
      <c r="A850" s="15" t="s">
        <v>80</v>
      </c>
      <c r="B850" s="31" t="s">
        <v>70</v>
      </c>
      <c r="C850" s="31" t="s">
        <v>62</v>
      </c>
      <c r="D850" s="100"/>
      <c r="E850" s="100"/>
      <c r="F850" s="143">
        <f>F851+F885+F895</f>
        <v>29991.300000000003</v>
      </c>
      <c r="G850" s="143">
        <f t="shared" ref="G850:H850" si="395">G851+G885+G895</f>
        <v>29452.200000000004</v>
      </c>
      <c r="H850" s="143">
        <f t="shared" si="395"/>
        <v>539.1000000000007</v>
      </c>
      <c r="I850" s="190">
        <f t="shared" si="390"/>
        <v>98.202478718828473</v>
      </c>
    </row>
    <row r="851" spans="1:9">
      <c r="A851" s="44" t="s">
        <v>430</v>
      </c>
      <c r="B851" s="20" t="s">
        <v>70</v>
      </c>
      <c r="C851" s="20" t="s">
        <v>62</v>
      </c>
      <c r="D851" s="102" t="s">
        <v>431</v>
      </c>
      <c r="E851" s="97"/>
      <c r="F851" s="59">
        <f>F852+F874+F869</f>
        <v>1843.6000000000001</v>
      </c>
      <c r="G851" s="59">
        <f t="shared" ref="G851:H851" si="396">G852+G874+G869</f>
        <v>1774.4</v>
      </c>
      <c r="H851" s="59">
        <f t="shared" si="396"/>
        <v>69.200000000000017</v>
      </c>
      <c r="I851" s="190">
        <f t="shared" si="390"/>
        <v>96.246474289433721</v>
      </c>
    </row>
    <row r="852" spans="1:9" ht="25.5">
      <c r="A852" s="28" t="str">
        <f>'пр.4 вед.стр.'!A824</f>
        <v>Муниципальная программа  "Пожарная безопасность в Сусуманском городском округе на 2018- 2022 годы"</v>
      </c>
      <c r="B852" s="20" t="s">
        <v>70</v>
      </c>
      <c r="C852" s="20" t="s">
        <v>62</v>
      </c>
      <c r="D852" s="102" t="str">
        <f>'пр.4 вед.стр.'!E824</f>
        <v xml:space="preserve">7П 0 00 00000 </v>
      </c>
      <c r="E852" s="97"/>
      <c r="F852" s="59">
        <f>F853</f>
        <v>305.7</v>
      </c>
      <c r="G852" s="59">
        <f t="shared" ref="G852:H852" si="397">G853</f>
        <v>236.49999999999997</v>
      </c>
      <c r="H852" s="59">
        <f t="shared" si="397"/>
        <v>69.200000000000017</v>
      </c>
      <c r="I852" s="190">
        <f t="shared" si="390"/>
        <v>77.363428197579324</v>
      </c>
    </row>
    <row r="853" spans="1:9" ht="38.25">
      <c r="A853" s="28" t="str">
        <f>'пр.4 вед.стр.'!A825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53" s="20" t="s">
        <v>70</v>
      </c>
      <c r="C853" s="20" t="s">
        <v>62</v>
      </c>
      <c r="D853" s="102" t="str">
        <f>'пр.4 вед.стр.'!E825</f>
        <v xml:space="preserve">7П 0 01 00000 </v>
      </c>
      <c r="E853" s="97"/>
      <c r="F853" s="59">
        <f>F854+F857+F863+F866+F860</f>
        <v>305.7</v>
      </c>
      <c r="G853" s="59">
        <f t="shared" ref="G853:H853" si="398">G854+G857+G863+G866+G860</f>
        <v>236.49999999999997</v>
      </c>
      <c r="H853" s="59">
        <f t="shared" si="398"/>
        <v>69.200000000000017</v>
      </c>
      <c r="I853" s="190">
        <f t="shared" si="390"/>
        <v>77.363428197579324</v>
      </c>
    </row>
    <row r="854" spans="1:9" ht="38.25">
      <c r="A854" s="28" t="str">
        <f>'пр.4 вед.стр.'!A826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54" s="20" t="s">
        <v>70</v>
      </c>
      <c r="C854" s="20" t="s">
        <v>62</v>
      </c>
      <c r="D854" s="102" t="str">
        <f>'пр.4 вед.стр.'!E826</f>
        <v xml:space="preserve">7П 0 01 94100 </v>
      </c>
      <c r="E854" s="97"/>
      <c r="F854" s="59">
        <f>F855</f>
        <v>180</v>
      </c>
      <c r="G854" s="59">
        <f t="shared" ref="G854:H855" si="399">G855</f>
        <v>130.19999999999999</v>
      </c>
      <c r="H854" s="59">
        <f t="shared" si="399"/>
        <v>49.800000000000011</v>
      </c>
      <c r="I854" s="190">
        <f t="shared" si="390"/>
        <v>72.333333333333329</v>
      </c>
    </row>
    <row r="855" spans="1:9" ht="25.5">
      <c r="A855" s="28" t="str">
        <f>'пр.4 вед.стр.'!A827</f>
        <v>Предоставление субсидий бюджетным, автономным учреждениям и иным некоммерческим организациям</v>
      </c>
      <c r="B855" s="20" t="s">
        <v>70</v>
      </c>
      <c r="C855" s="20" t="s">
        <v>62</v>
      </c>
      <c r="D855" s="102" t="str">
        <f>'пр.4 вед.стр.'!E827</f>
        <v xml:space="preserve">7П 0 01 94100 </v>
      </c>
      <c r="E855" s="97" t="str">
        <f>'пр.4 вед.стр.'!F827</f>
        <v>600</v>
      </c>
      <c r="F855" s="59">
        <f>F856</f>
        <v>180</v>
      </c>
      <c r="G855" s="59">
        <f t="shared" si="399"/>
        <v>130.19999999999999</v>
      </c>
      <c r="H855" s="59">
        <f t="shared" si="399"/>
        <v>49.800000000000011</v>
      </c>
      <c r="I855" s="190">
        <f t="shared" si="390"/>
        <v>72.333333333333329</v>
      </c>
    </row>
    <row r="856" spans="1:9">
      <c r="A856" s="28" t="str">
        <f>'пр.4 вед.стр.'!A828</f>
        <v>Субсидии бюджетным учреждениям</v>
      </c>
      <c r="B856" s="20" t="s">
        <v>70</v>
      </c>
      <c r="C856" s="20" t="s">
        <v>62</v>
      </c>
      <c r="D856" s="102" t="str">
        <f>'пр.4 вед.стр.'!E828</f>
        <v xml:space="preserve">7П 0 01 94100 </v>
      </c>
      <c r="E856" s="97" t="str">
        <f>'пр.4 вед.стр.'!F828</f>
        <v>610</v>
      </c>
      <c r="F856" s="59">
        <f>'пр.4 вед.стр.'!G828</f>
        <v>180</v>
      </c>
      <c r="G856" s="59">
        <f>'пр.4 вед.стр.'!H828</f>
        <v>130.19999999999999</v>
      </c>
      <c r="H856" s="59">
        <f>'пр.4 вед.стр.'!I828</f>
        <v>49.800000000000011</v>
      </c>
      <c r="I856" s="190">
        <f t="shared" si="390"/>
        <v>72.333333333333329</v>
      </c>
    </row>
    <row r="857" spans="1:9" ht="25.5">
      <c r="A857" s="28" t="str">
        <f>'пр.4 вед.стр.'!A829</f>
        <v>Приобретение и заправка огнетушителей, средств индивидуальной защиты</v>
      </c>
      <c r="B857" s="20" t="s">
        <v>70</v>
      </c>
      <c r="C857" s="20" t="s">
        <v>62</v>
      </c>
      <c r="D857" s="102" t="str">
        <f>'пр.4 вед.стр.'!E829</f>
        <v xml:space="preserve">7П 0 01 94300 </v>
      </c>
      <c r="E857" s="97"/>
      <c r="F857" s="59">
        <f>F858</f>
        <v>33.6</v>
      </c>
      <c r="G857" s="59">
        <f t="shared" ref="G857:H858" si="400">G858</f>
        <v>21.6</v>
      </c>
      <c r="H857" s="59">
        <f t="shared" si="400"/>
        <v>12</v>
      </c>
      <c r="I857" s="190">
        <f t="shared" si="390"/>
        <v>64.285714285714292</v>
      </c>
    </row>
    <row r="858" spans="1:9" ht="25.5">
      <c r="A858" s="28" t="str">
        <f>'пр.4 вед.стр.'!A830</f>
        <v>Предоставление субсидий бюджетным, автономным учреждениям и иным некоммерческим организациям</v>
      </c>
      <c r="B858" s="20" t="s">
        <v>70</v>
      </c>
      <c r="C858" s="20" t="s">
        <v>62</v>
      </c>
      <c r="D858" s="102" t="str">
        <f>'пр.4 вед.стр.'!E830</f>
        <v xml:space="preserve">7П 0 01 94300 </v>
      </c>
      <c r="E858" s="97" t="str">
        <f>'пр.4 вед.стр.'!F830</f>
        <v>600</v>
      </c>
      <c r="F858" s="59">
        <f>F859</f>
        <v>33.6</v>
      </c>
      <c r="G858" s="59">
        <f t="shared" si="400"/>
        <v>21.6</v>
      </c>
      <c r="H858" s="59">
        <f t="shared" si="400"/>
        <v>12</v>
      </c>
      <c r="I858" s="190">
        <f t="shared" si="390"/>
        <v>64.285714285714292</v>
      </c>
    </row>
    <row r="859" spans="1:9">
      <c r="A859" s="28" t="str">
        <f>'пр.4 вед.стр.'!A831</f>
        <v>Субсидии бюджетным учреждениям</v>
      </c>
      <c r="B859" s="20" t="s">
        <v>70</v>
      </c>
      <c r="C859" s="20" t="s">
        <v>62</v>
      </c>
      <c r="D859" s="102" t="str">
        <f>'пр.4 вед.стр.'!E831</f>
        <v xml:space="preserve">7П 0 01 94300 </v>
      </c>
      <c r="E859" s="97" t="str">
        <f>'пр.4 вед.стр.'!F831</f>
        <v>610</v>
      </c>
      <c r="F859" s="59">
        <f>'пр.4 вед.стр.'!G831</f>
        <v>33.6</v>
      </c>
      <c r="G859" s="59">
        <f>'пр.4 вед.стр.'!H831</f>
        <v>21.6</v>
      </c>
      <c r="H859" s="59">
        <f>'пр.4 вед.стр.'!I831</f>
        <v>12</v>
      </c>
      <c r="I859" s="190">
        <f t="shared" si="390"/>
        <v>64.285714285714292</v>
      </c>
    </row>
    <row r="860" spans="1:9" ht="25.5">
      <c r="A860" s="28" t="str">
        <f>'пр.4 вед.стр.'!A832</f>
        <v>Проведение замеров сопротивления изоляции электросетей и электрооборудования</v>
      </c>
      <c r="B860" s="20" t="s">
        <v>70</v>
      </c>
      <c r="C860" s="20" t="s">
        <v>62</v>
      </c>
      <c r="D860" s="102" t="str">
        <f>'пр.4 вед.стр.'!E832</f>
        <v xml:space="preserve">7П 0 01 94400 </v>
      </c>
      <c r="E860" s="97"/>
      <c r="F860" s="59">
        <f>F861</f>
        <v>50</v>
      </c>
      <c r="G860" s="59">
        <f t="shared" ref="G860:H861" si="401">G861</f>
        <v>50</v>
      </c>
      <c r="H860" s="59">
        <f t="shared" si="401"/>
        <v>0</v>
      </c>
      <c r="I860" s="190">
        <f t="shared" si="390"/>
        <v>100</v>
      </c>
    </row>
    <row r="861" spans="1:9" ht="25.5">
      <c r="A861" s="28" t="str">
        <f>'пр.4 вед.стр.'!A833</f>
        <v>Предоставление субсидий бюджетным, автономным учреждениям и иным некоммерческим организациям</v>
      </c>
      <c r="B861" s="20" t="s">
        <v>70</v>
      </c>
      <c r="C861" s="20" t="s">
        <v>62</v>
      </c>
      <c r="D861" s="102" t="str">
        <f>'пр.4 вед.стр.'!E833</f>
        <v xml:space="preserve">7П 0 01 94400 </v>
      </c>
      <c r="E861" s="121">
        <v>600</v>
      </c>
      <c r="F861" s="59">
        <f>F862</f>
        <v>50</v>
      </c>
      <c r="G861" s="59">
        <f t="shared" si="401"/>
        <v>50</v>
      </c>
      <c r="H861" s="59">
        <f t="shared" si="401"/>
        <v>0</v>
      </c>
      <c r="I861" s="190">
        <f t="shared" si="390"/>
        <v>100</v>
      </c>
    </row>
    <row r="862" spans="1:9">
      <c r="A862" s="28" t="str">
        <f>'пр.4 вед.стр.'!A834</f>
        <v>Субсидии бюджетным учреждениям</v>
      </c>
      <c r="B862" s="20" t="s">
        <v>70</v>
      </c>
      <c r="C862" s="20" t="s">
        <v>62</v>
      </c>
      <c r="D862" s="102" t="str">
        <f>'пр.4 вед.стр.'!E834</f>
        <v xml:space="preserve">7П 0 01 94400 </v>
      </c>
      <c r="E862" s="121">
        <v>610</v>
      </c>
      <c r="F862" s="59">
        <f>'пр.4 вед.стр.'!G832</f>
        <v>50</v>
      </c>
      <c r="G862" s="59">
        <f>'пр.4 вед.стр.'!H832</f>
        <v>50</v>
      </c>
      <c r="H862" s="59">
        <f>'пр.4 вед.стр.'!I832</f>
        <v>0</v>
      </c>
      <c r="I862" s="190">
        <f t="shared" si="390"/>
        <v>100</v>
      </c>
    </row>
    <row r="863" spans="1:9" ht="25.5">
      <c r="A863" s="28" t="str">
        <f>'пр.4 вед.стр.'!A835</f>
        <v>Проведение проверок исправности и ремонт систем противопожарного водоснабжения, приобретение и обслуживание гидрантов</v>
      </c>
      <c r="B863" s="20" t="s">
        <v>70</v>
      </c>
      <c r="C863" s="20" t="s">
        <v>62</v>
      </c>
      <c r="D863" s="102" t="str">
        <f>'пр.4 вед.стр.'!E835</f>
        <v xml:space="preserve">7П 0 01 94500 </v>
      </c>
      <c r="E863" s="97"/>
      <c r="F863" s="59">
        <f>F864</f>
        <v>21.099999999999994</v>
      </c>
      <c r="G863" s="59">
        <f t="shared" ref="G863:H864" si="402">G864</f>
        <v>21.1</v>
      </c>
      <c r="H863" s="59">
        <f t="shared" si="402"/>
        <v>0</v>
      </c>
      <c r="I863" s="190">
        <f t="shared" si="390"/>
        <v>100.00000000000004</v>
      </c>
    </row>
    <row r="864" spans="1:9" ht="25.5">
      <c r="A864" s="28" t="str">
        <f>'пр.4 вед.стр.'!A836</f>
        <v>Предоставление субсидий бюджетным, автономным учреждениям и иным некоммерческим организациям</v>
      </c>
      <c r="B864" s="20" t="s">
        <v>70</v>
      </c>
      <c r="C864" s="20" t="s">
        <v>62</v>
      </c>
      <c r="D864" s="102" t="str">
        <f>'пр.4 вед.стр.'!E836</f>
        <v xml:space="preserve">7П 0 01 94500 </v>
      </c>
      <c r="E864" s="97" t="str">
        <f>'пр.4 вед.стр.'!F836</f>
        <v>600</v>
      </c>
      <c r="F864" s="59">
        <f>F865</f>
        <v>21.099999999999994</v>
      </c>
      <c r="G864" s="59">
        <f t="shared" si="402"/>
        <v>21.1</v>
      </c>
      <c r="H864" s="59">
        <f t="shared" si="402"/>
        <v>0</v>
      </c>
      <c r="I864" s="190">
        <f t="shared" si="390"/>
        <v>100.00000000000004</v>
      </c>
    </row>
    <row r="865" spans="1:9">
      <c r="A865" s="28" t="str">
        <f>'пр.4 вед.стр.'!A837</f>
        <v>Субсидии бюджетным учреждениям</v>
      </c>
      <c r="B865" s="20" t="s">
        <v>70</v>
      </c>
      <c r="C865" s="20" t="s">
        <v>62</v>
      </c>
      <c r="D865" s="102" t="str">
        <f>'пр.4 вед.стр.'!E837</f>
        <v xml:space="preserve">7П 0 01 94500 </v>
      </c>
      <c r="E865" s="97" t="str">
        <f>'пр.4 вед.стр.'!F837</f>
        <v>610</v>
      </c>
      <c r="F865" s="59">
        <f>'пр.4 вед.стр.'!G837</f>
        <v>21.099999999999994</v>
      </c>
      <c r="G865" s="59">
        <f>'пр.4 вед.стр.'!H837</f>
        <v>21.1</v>
      </c>
      <c r="H865" s="59">
        <f>'пр.4 вед.стр.'!I837</f>
        <v>0</v>
      </c>
      <c r="I865" s="190">
        <f t="shared" si="390"/>
        <v>100.00000000000004</v>
      </c>
    </row>
    <row r="866" spans="1:9">
      <c r="A866" s="28" t="str">
        <f>'пр.4 вед.стр.'!A838</f>
        <v>Изготовление планов эвакуации</v>
      </c>
      <c r="B866" s="20" t="s">
        <v>70</v>
      </c>
      <c r="C866" s="20" t="s">
        <v>62</v>
      </c>
      <c r="D866" s="102" t="str">
        <f>'пр.4 вед.стр.'!E838</f>
        <v xml:space="preserve">7П 0 01 94700 </v>
      </c>
      <c r="E866" s="97"/>
      <c r="F866" s="59">
        <f>F867</f>
        <v>21</v>
      </c>
      <c r="G866" s="59">
        <f t="shared" ref="G866:H867" si="403">G867</f>
        <v>13.6</v>
      </c>
      <c r="H866" s="59">
        <f t="shared" si="403"/>
        <v>7.4</v>
      </c>
      <c r="I866" s="190">
        <f t="shared" si="390"/>
        <v>64.761904761904759</v>
      </c>
    </row>
    <row r="867" spans="1:9" ht="25.5">
      <c r="A867" s="28" t="str">
        <f>'пр.4 вед.стр.'!A839</f>
        <v>Предоставление субсидий бюджетным, автономным учреждениям и иным некоммерческим организациям</v>
      </c>
      <c r="B867" s="20" t="s">
        <v>70</v>
      </c>
      <c r="C867" s="20" t="s">
        <v>62</v>
      </c>
      <c r="D867" s="102" t="str">
        <f>'пр.4 вед.стр.'!E839</f>
        <v xml:space="preserve">7П 0 01 94700 </v>
      </c>
      <c r="E867" s="97" t="str">
        <f>'пр.4 вед.стр.'!F839</f>
        <v>600</v>
      </c>
      <c r="F867" s="59">
        <f>F868</f>
        <v>21</v>
      </c>
      <c r="G867" s="59">
        <f t="shared" si="403"/>
        <v>13.6</v>
      </c>
      <c r="H867" s="59">
        <f t="shared" si="403"/>
        <v>7.4</v>
      </c>
      <c r="I867" s="190">
        <f t="shared" si="390"/>
        <v>64.761904761904759</v>
      </c>
    </row>
    <row r="868" spans="1:9">
      <c r="A868" s="28" t="str">
        <f>'пр.4 вед.стр.'!A840</f>
        <v>Субсидии бюджетным учреждениям</v>
      </c>
      <c r="B868" s="20" t="s">
        <v>70</v>
      </c>
      <c r="C868" s="20" t="s">
        <v>62</v>
      </c>
      <c r="D868" s="102" t="str">
        <f>'пр.4 вед.стр.'!E840</f>
        <v xml:space="preserve">7П 0 01 94700 </v>
      </c>
      <c r="E868" s="97" t="str">
        <f>'пр.4 вед.стр.'!F840</f>
        <v>610</v>
      </c>
      <c r="F868" s="59">
        <f>'пр.4 вед.стр.'!G840</f>
        <v>21</v>
      </c>
      <c r="G868" s="59">
        <f>'пр.4 вед.стр.'!H840</f>
        <v>13.6</v>
      </c>
      <c r="H868" s="59">
        <f>'пр.4 вед.стр.'!I840</f>
        <v>7.4</v>
      </c>
      <c r="I868" s="190">
        <f t="shared" si="390"/>
        <v>64.761904761904759</v>
      </c>
    </row>
    <row r="869" spans="1:9" ht="38.25">
      <c r="A869" s="154" t="str">
        <f>'пр.4 вед.стр.'!A841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69" s="20" t="s">
        <v>70</v>
      </c>
      <c r="C869" s="20" t="s">
        <v>62</v>
      </c>
      <c r="D869" s="102" t="str">
        <f>'пр.4 вед.стр.'!E841</f>
        <v xml:space="preserve">7Т 0 00 00000 </v>
      </c>
      <c r="E869" s="97"/>
      <c r="F869" s="59">
        <f>F870</f>
        <v>300</v>
      </c>
      <c r="G869" s="59">
        <f t="shared" ref="G869:H872" si="404">G870</f>
        <v>300</v>
      </c>
      <c r="H869" s="59">
        <f t="shared" si="404"/>
        <v>0</v>
      </c>
      <c r="I869" s="190">
        <f t="shared" si="390"/>
        <v>100</v>
      </c>
    </row>
    <row r="870" spans="1:9" ht="25.5">
      <c r="A870" s="154" t="str">
        <f>'пр.4 вед.стр.'!A842</f>
        <v>Основное мероприятие "Профилактика правонарушений по отдельным видам противоправной деятельности"</v>
      </c>
      <c r="B870" s="20" t="s">
        <v>70</v>
      </c>
      <c r="C870" s="20" t="s">
        <v>62</v>
      </c>
      <c r="D870" s="102" t="str">
        <f>'пр.4 вед.стр.'!E842</f>
        <v xml:space="preserve">7Т 0 05 00000 </v>
      </c>
      <c r="E870" s="97"/>
      <c r="F870" s="59">
        <f>F871</f>
        <v>300</v>
      </c>
      <c r="G870" s="59">
        <f t="shared" si="404"/>
        <v>300</v>
      </c>
      <c r="H870" s="59">
        <f t="shared" si="404"/>
        <v>0</v>
      </c>
      <c r="I870" s="190">
        <f t="shared" si="390"/>
        <v>100</v>
      </c>
    </row>
    <row r="871" spans="1:9">
      <c r="A871" s="154" t="str">
        <f>'пр.4 вед.стр.'!A843</f>
        <v xml:space="preserve">Установка видеонаблюдения </v>
      </c>
      <c r="B871" s="20" t="s">
        <v>70</v>
      </c>
      <c r="C871" s="20" t="s">
        <v>62</v>
      </c>
      <c r="D871" s="102" t="str">
        <f>'пр.4 вед.стр.'!E843</f>
        <v xml:space="preserve">7Т 0 05 95100 </v>
      </c>
      <c r="E871" s="97"/>
      <c r="F871" s="59">
        <f>F872</f>
        <v>300</v>
      </c>
      <c r="G871" s="59">
        <f t="shared" si="404"/>
        <v>300</v>
      </c>
      <c r="H871" s="59">
        <f t="shared" si="404"/>
        <v>0</v>
      </c>
      <c r="I871" s="190">
        <f t="shared" si="390"/>
        <v>100</v>
      </c>
    </row>
    <row r="872" spans="1:9" ht="25.5">
      <c r="A872" s="154" t="str">
        <f>'пр.4 вед.стр.'!A844</f>
        <v>Предоставление субсидий бюджетным, автономным учреждениям и иным некоммерческим организациям</v>
      </c>
      <c r="B872" s="20" t="s">
        <v>70</v>
      </c>
      <c r="C872" s="20" t="s">
        <v>62</v>
      </c>
      <c r="D872" s="102" t="str">
        <f>'пр.4 вед.стр.'!E844</f>
        <v xml:space="preserve">7Т 0 05 95100 </v>
      </c>
      <c r="E872" s="97" t="s">
        <v>94</v>
      </c>
      <c r="F872" s="59">
        <f>F873</f>
        <v>300</v>
      </c>
      <c r="G872" s="59">
        <f t="shared" si="404"/>
        <v>300</v>
      </c>
      <c r="H872" s="59">
        <f t="shared" si="404"/>
        <v>0</v>
      </c>
      <c r="I872" s="190">
        <f t="shared" si="390"/>
        <v>100</v>
      </c>
    </row>
    <row r="873" spans="1:9">
      <c r="A873" s="154" t="str">
        <f>'пр.4 вед.стр.'!A845</f>
        <v>Субсидии бюджетным учреждениям</v>
      </c>
      <c r="B873" s="20" t="s">
        <v>70</v>
      </c>
      <c r="C873" s="20" t="s">
        <v>62</v>
      </c>
      <c r="D873" s="102" t="str">
        <f>'пр.4 вед.стр.'!E845</f>
        <v xml:space="preserve">7Т 0 05 95100 </v>
      </c>
      <c r="E873" s="97" t="s">
        <v>98</v>
      </c>
      <c r="F873" s="59">
        <f>'пр.4 вед.стр.'!G845</f>
        <v>300</v>
      </c>
      <c r="G873" s="59">
        <f>'пр.4 вед.стр.'!H845</f>
        <v>300</v>
      </c>
      <c r="H873" s="59">
        <f>'пр.4 вед.стр.'!I845</f>
        <v>0</v>
      </c>
      <c r="I873" s="190">
        <f t="shared" si="390"/>
        <v>100</v>
      </c>
    </row>
    <row r="874" spans="1:9" ht="25.5">
      <c r="A874" s="28" t="str">
        <f>'пр.4 вед.стр.'!A846</f>
        <v>Муниципальная программа "Развитие физической культуры и спорта в Сусуманском городском округе на 2018- 2022 годы"</v>
      </c>
      <c r="B874" s="20" t="s">
        <v>70</v>
      </c>
      <c r="C874" s="20" t="s">
        <v>62</v>
      </c>
      <c r="D874" s="102" t="str">
        <f>'пр.4 вед.стр.'!E846</f>
        <v xml:space="preserve">7Ф 0 00 00000 </v>
      </c>
      <c r="E874" s="97"/>
      <c r="F874" s="59">
        <f>F875</f>
        <v>1237.9000000000001</v>
      </c>
      <c r="G874" s="59">
        <f t="shared" ref="G874:H874" si="405">G875</f>
        <v>1237.9000000000001</v>
      </c>
      <c r="H874" s="59">
        <f t="shared" si="405"/>
        <v>0</v>
      </c>
      <c r="I874" s="190">
        <f t="shared" si="390"/>
        <v>100</v>
      </c>
    </row>
    <row r="875" spans="1:9" ht="25.5">
      <c r="A875" s="28" t="str">
        <f>'пр.4 вед.стр.'!A847</f>
        <v>Основное мероприятие "Приобщение различных слоев населения к регулярным занятиям физической культурой и спортом"</v>
      </c>
      <c r="B875" s="20" t="s">
        <v>70</v>
      </c>
      <c r="C875" s="20" t="s">
        <v>62</v>
      </c>
      <c r="D875" s="102" t="str">
        <f>'пр.4 вед.стр.'!E847</f>
        <v xml:space="preserve">7Ф 0 01 00000 </v>
      </c>
      <c r="E875" s="97"/>
      <c r="F875" s="59">
        <f>F879+F882+F876</f>
        <v>1237.9000000000001</v>
      </c>
      <c r="G875" s="59">
        <f t="shared" ref="G875:H875" si="406">G879+G882+G876</f>
        <v>1237.9000000000001</v>
      </c>
      <c r="H875" s="59">
        <f t="shared" si="406"/>
        <v>0</v>
      </c>
      <c r="I875" s="190">
        <f t="shared" si="390"/>
        <v>100</v>
      </c>
    </row>
    <row r="876" spans="1:9" ht="25.15" customHeight="1">
      <c r="A876" s="28" t="str">
        <f>'пр.4 вед.стр.'!A848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76" s="20" t="s">
        <v>70</v>
      </c>
      <c r="C876" s="20" t="s">
        <v>62</v>
      </c>
      <c r="D876" s="102" t="str">
        <f>'пр.4 вед.стр.'!E848</f>
        <v xml:space="preserve">7Ф 0 01 75010 </v>
      </c>
      <c r="E876" s="97"/>
      <c r="F876" s="59">
        <f>F877</f>
        <v>87.9</v>
      </c>
      <c r="G876" s="59">
        <f t="shared" ref="G876:H877" si="407">G877</f>
        <v>87.9</v>
      </c>
      <c r="H876" s="59">
        <f t="shared" si="407"/>
        <v>0</v>
      </c>
      <c r="I876" s="190">
        <f t="shared" si="390"/>
        <v>100</v>
      </c>
    </row>
    <row r="877" spans="1:9" ht="25.5">
      <c r="A877" s="28" t="str">
        <f>'пр.4 вед.стр.'!A849</f>
        <v>Предоставление субсидий бюджетным, автономным учреждениям и иным некоммерческим организациям</v>
      </c>
      <c r="B877" s="20" t="s">
        <v>70</v>
      </c>
      <c r="C877" s="20" t="s">
        <v>62</v>
      </c>
      <c r="D877" s="102" t="str">
        <f>'пр.4 вед.стр.'!E849</f>
        <v xml:space="preserve">7Ф 0 01 75010 </v>
      </c>
      <c r="E877" s="97" t="str">
        <f>'пр.4 вед.стр.'!F849</f>
        <v>600</v>
      </c>
      <c r="F877" s="59">
        <f>F878</f>
        <v>87.9</v>
      </c>
      <c r="G877" s="59">
        <f t="shared" si="407"/>
        <v>87.9</v>
      </c>
      <c r="H877" s="59">
        <f t="shared" si="407"/>
        <v>0</v>
      </c>
      <c r="I877" s="190">
        <f t="shared" si="390"/>
        <v>100</v>
      </c>
    </row>
    <row r="878" spans="1:9">
      <c r="A878" s="28" t="str">
        <f>'пр.4 вед.стр.'!A850</f>
        <v>Субсидии бюджетным учреждениям</v>
      </c>
      <c r="B878" s="20" t="s">
        <v>70</v>
      </c>
      <c r="C878" s="20" t="s">
        <v>62</v>
      </c>
      <c r="D878" s="102" t="str">
        <f>'пр.4 вед.стр.'!E850</f>
        <v xml:space="preserve">7Ф 0 01 75010 </v>
      </c>
      <c r="E878" s="97" t="str">
        <f>'пр.4 вед.стр.'!F850</f>
        <v>610</v>
      </c>
      <c r="F878" s="59">
        <f>'пр.4 вед.стр.'!G850</f>
        <v>87.9</v>
      </c>
      <c r="G878" s="59">
        <f>'пр.4 вед.стр.'!H850</f>
        <v>87.9</v>
      </c>
      <c r="H878" s="59">
        <f>'пр.4 вед.стр.'!I850</f>
        <v>0</v>
      </c>
      <c r="I878" s="190">
        <f t="shared" si="390"/>
        <v>100</v>
      </c>
    </row>
    <row r="879" spans="1:9">
      <c r="A879" s="28" t="str">
        <f>'пр.4 вед.стр.'!A851</f>
        <v>Укрепление материально- технической базы</v>
      </c>
      <c r="B879" s="20" t="s">
        <v>70</v>
      </c>
      <c r="C879" s="20" t="s">
        <v>62</v>
      </c>
      <c r="D879" s="102" t="str">
        <f>'пр.4 вед.стр.'!E851</f>
        <v xml:space="preserve">7Ф 0 01 92500 </v>
      </c>
      <c r="E879" s="97"/>
      <c r="F879" s="59">
        <f>F880</f>
        <v>300</v>
      </c>
      <c r="G879" s="59">
        <f t="shared" ref="G879:H880" si="408">G880</f>
        <v>300</v>
      </c>
      <c r="H879" s="59">
        <f t="shared" si="408"/>
        <v>0</v>
      </c>
      <c r="I879" s="190">
        <f t="shared" si="390"/>
        <v>100</v>
      </c>
    </row>
    <row r="880" spans="1:9" ht="25.5">
      <c r="A880" s="28" t="str">
        <f>'пр.4 вед.стр.'!A852</f>
        <v>Предоставление субсидий бюджетным, автономным учреждениям и иным некоммерческим организациям</v>
      </c>
      <c r="B880" s="20" t="s">
        <v>70</v>
      </c>
      <c r="C880" s="20" t="s">
        <v>62</v>
      </c>
      <c r="D880" s="102" t="str">
        <f>'пр.4 вед.стр.'!E852</f>
        <v xml:space="preserve">7Ф 0 01 92500 </v>
      </c>
      <c r="E880" s="97" t="str">
        <f>'пр.4 вед.стр.'!F852</f>
        <v>600</v>
      </c>
      <c r="F880" s="59">
        <f>F881</f>
        <v>300</v>
      </c>
      <c r="G880" s="59">
        <f t="shared" si="408"/>
        <v>300</v>
      </c>
      <c r="H880" s="59">
        <f t="shared" si="408"/>
        <v>0</v>
      </c>
      <c r="I880" s="190">
        <f t="shared" si="390"/>
        <v>100</v>
      </c>
    </row>
    <row r="881" spans="1:9">
      <c r="A881" s="28" t="str">
        <f>'пр.4 вед.стр.'!A853</f>
        <v>Субсидии бюджетным учреждениям</v>
      </c>
      <c r="B881" s="20" t="s">
        <v>70</v>
      </c>
      <c r="C881" s="20" t="s">
        <v>62</v>
      </c>
      <c r="D881" s="102" t="str">
        <f>'пр.4 вед.стр.'!E853</f>
        <v xml:space="preserve">7Ф 0 01 92500 </v>
      </c>
      <c r="E881" s="97" t="str">
        <f>'пр.4 вед.стр.'!F853</f>
        <v>610</v>
      </c>
      <c r="F881" s="59">
        <f>'пр.4 вед.стр.'!G853</f>
        <v>300</v>
      </c>
      <c r="G881" s="59">
        <f>'пр.4 вед.стр.'!H853</f>
        <v>300</v>
      </c>
      <c r="H881" s="59">
        <f>'пр.4 вед.стр.'!I853</f>
        <v>0</v>
      </c>
      <c r="I881" s="190">
        <f t="shared" si="390"/>
        <v>100</v>
      </c>
    </row>
    <row r="882" spans="1:9" ht="25.5">
      <c r="A882" s="28" t="str">
        <f>'пр.4 вед.стр.'!A854</f>
        <v>Оздоровительная, спортивно- массовая работа с населением, проведение мероприятий</v>
      </c>
      <c r="B882" s="20" t="s">
        <v>70</v>
      </c>
      <c r="C882" s="20" t="s">
        <v>62</v>
      </c>
      <c r="D882" s="102" t="str">
        <f>'пр.4 вед.стр.'!E854</f>
        <v xml:space="preserve">7Ф 0 01 93100 </v>
      </c>
      <c r="E882" s="97"/>
      <c r="F882" s="59">
        <f>F883</f>
        <v>850</v>
      </c>
      <c r="G882" s="59">
        <f t="shared" ref="G882:H883" si="409">G883</f>
        <v>850</v>
      </c>
      <c r="H882" s="59">
        <f t="shared" si="409"/>
        <v>0</v>
      </c>
      <c r="I882" s="190">
        <f t="shared" si="390"/>
        <v>100</v>
      </c>
    </row>
    <row r="883" spans="1:9" ht="25.5">
      <c r="A883" s="28" t="str">
        <f>'пр.4 вед.стр.'!A855</f>
        <v>Предоставление субсидий бюджетным, автономным учреждениям и иным некоммерческим организациям</v>
      </c>
      <c r="B883" s="20" t="s">
        <v>70</v>
      </c>
      <c r="C883" s="20" t="s">
        <v>62</v>
      </c>
      <c r="D883" s="102" t="str">
        <f>'пр.4 вед.стр.'!E855</f>
        <v xml:space="preserve">7Ф 0 01 93100 </v>
      </c>
      <c r="E883" s="97" t="str">
        <f>'пр.4 вед.стр.'!F855</f>
        <v>600</v>
      </c>
      <c r="F883" s="59">
        <f>F884</f>
        <v>850</v>
      </c>
      <c r="G883" s="59">
        <f t="shared" si="409"/>
        <v>850</v>
      </c>
      <c r="H883" s="59">
        <f t="shared" si="409"/>
        <v>0</v>
      </c>
      <c r="I883" s="190">
        <f t="shared" si="390"/>
        <v>100</v>
      </c>
    </row>
    <row r="884" spans="1:9">
      <c r="A884" s="28" t="str">
        <f>'пр.4 вед.стр.'!A856</f>
        <v>Субсидии бюджетным учреждениям</v>
      </c>
      <c r="B884" s="20" t="s">
        <v>70</v>
      </c>
      <c r="C884" s="20" t="s">
        <v>62</v>
      </c>
      <c r="D884" s="102" t="str">
        <f>'пр.4 вед.стр.'!E856</f>
        <v xml:space="preserve">7Ф 0 01 93100 </v>
      </c>
      <c r="E884" s="97" t="str">
        <f>'пр.4 вед.стр.'!F856</f>
        <v>610</v>
      </c>
      <c r="F884" s="59">
        <f>'пр.4 вед.стр.'!G856</f>
        <v>850</v>
      </c>
      <c r="G884" s="59">
        <f>'пр.4 вед.стр.'!H856</f>
        <v>850</v>
      </c>
      <c r="H884" s="59">
        <f>'пр.4 вед.стр.'!I856</f>
        <v>0</v>
      </c>
      <c r="I884" s="190">
        <f t="shared" si="390"/>
        <v>100</v>
      </c>
    </row>
    <row r="885" spans="1:9" ht="25.5">
      <c r="A885" s="16" t="s">
        <v>492</v>
      </c>
      <c r="B885" s="20" t="s">
        <v>70</v>
      </c>
      <c r="C885" s="20" t="s">
        <v>62</v>
      </c>
      <c r="D885" s="97" t="s">
        <v>493</v>
      </c>
      <c r="E885" s="97"/>
      <c r="F885" s="59">
        <f>F886+F889+F892</f>
        <v>27628.300000000003</v>
      </c>
      <c r="G885" s="59">
        <f t="shared" ref="G885:H885" si="410">G886+G889+G892</f>
        <v>27161.9</v>
      </c>
      <c r="H885" s="59">
        <f t="shared" si="410"/>
        <v>466.40000000000072</v>
      </c>
      <c r="I885" s="190">
        <f t="shared" si="390"/>
        <v>98.311875866412336</v>
      </c>
    </row>
    <row r="886" spans="1:9" ht="25.5">
      <c r="A886" s="16" t="s">
        <v>183</v>
      </c>
      <c r="B886" s="20" t="s">
        <v>70</v>
      </c>
      <c r="C886" s="20" t="s">
        <v>62</v>
      </c>
      <c r="D886" s="97" t="s">
        <v>494</v>
      </c>
      <c r="E886" s="97"/>
      <c r="F886" s="59">
        <f>F887</f>
        <v>27456.600000000002</v>
      </c>
      <c r="G886" s="59">
        <f t="shared" ref="G886:H887" si="411">G887</f>
        <v>26991.9</v>
      </c>
      <c r="H886" s="59">
        <f t="shared" si="411"/>
        <v>464.70000000000073</v>
      </c>
      <c r="I886" s="190">
        <f t="shared" si="390"/>
        <v>98.307510762439634</v>
      </c>
    </row>
    <row r="887" spans="1:9" ht="25.5">
      <c r="A887" s="16" t="s">
        <v>93</v>
      </c>
      <c r="B887" s="20" t="s">
        <v>70</v>
      </c>
      <c r="C887" s="20" t="s">
        <v>62</v>
      </c>
      <c r="D887" s="97" t="s">
        <v>494</v>
      </c>
      <c r="E887" s="97" t="s">
        <v>94</v>
      </c>
      <c r="F887" s="59">
        <f>F888</f>
        <v>27456.600000000002</v>
      </c>
      <c r="G887" s="59">
        <f t="shared" si="411"/>
        <v>26991.9</v>
      </c>
      <c r="H887" s="59">
        <f t="shared" si="411"/>
        <v>464.70000000000073</v>
      </c>
      <c r="I887" s="190">
        <f t="shared" si="390"/>
        <v>98.307510762439634</v>
      </c>
    </row>
    <row r="888" spans="1:9">
      <c r="A888" s="16" t="s">
        <v>97</v>
      </c>
      <c r="B888" s="20" t="s">
        <v>70</v>
      </c>
      <c r="C888" s="20" t="s">
        <v>62</v>
      </c>
      <c r="D888" s="97" t="s">
        <v>494</v>
      </c>
      <c r="E888" s="97" t="s">
        <v>98</v>
      </c>
      <c r="F888" s="59">
        <f>'пр.4 вед.стр.'!G860</f>
        <v>27456.600000000002</v>
      </c>
      <c r="G888" s="59">
        <f>'пр.4 вед.стр.'!H860</f>
        <v>26991.9</v>
      </c>
      <c r="H888" s="59">
        <f>'пр.4 вед.стр.'!I860</f>
        <v>464.70000000000073</v>
      </c>
      <c r="I888" s="190">
        <f t="shared" si="390"/>
        <v>98.307510762439634</v>
      </c>
    </row>
    <row r="889" spans="1:9" ht="51">
      <c r="A889" s="16" t="s">
        <v>202</v>
      </c>
      <c r="B889" s="20" t="s">
        <v>70</v>
      </c>
      <c r="C889" s="20" t="s">
        <v>62</v>
      </c>
      <c r="D889" s="97" t="s">
        <v>495</v>
      </c>
      <c r="E889" s="97"/>
      <c r="F889" s="59">
        <f>F890</f>
        <v>159.69999999999999</v>
      </c>
      <c r="G889" s="59">
        <f t="shared" ref="G889:H890" si="412">G890</f>
        <v>159.69999999999999</v>
      </c>
      <c r="H889" s="59">
        <f t="shared" si="412"/>
        <v>0</v>
      </c>
      <c r="I889" s="190">
        <f t="shared" si="390"/>
        <v>100</v>
      </c>
    </row>
    <row r="890" spans="1:9" ht="25.5">
      <c r="A890" s="16" t="s">
        <v>93</v>
      </c>
      <c r="B890" s="20" t="s">
        <v>70</v>
      </c>
      <c r="C890" s="20" t="s">
        <v>62</v>
      </c>
      <c r="D890" s="97" t="s">
        <v>495</v>
      </c>
      <c r="E890" s="97" t="s">
        <v>94</v>
      </c>
      <c r="F890" s="59">
        <f>F891</f>
        <v>159.69999999999999</v>
      </c>
      <c r="G890" s="59">
        <f t="shared" si="412"/>
        <v>159.69999999999999</v>
      </c>
      <c r="H890" s="59">
        <f t="shared" si="412"/>
        <v>0</v>
      </c>
      <c r="I890" s="190">
        <f t="shared" si="390"/>
        <v>100</v>
      </c>
    </row>
    <row r="891" spans="1:9">
      <c r="A891" s="16" t="s">
        <v>97</v>
      </c>
      <c r="B891" s="20" t="s">
        <v>70</v>
      </c>
      <c r="C891" s="20" t="s">
        <v>62</v>
      </c>
      <c r="D891" s="97" t="s">
        <v>495</v>
      </c>
      <c r="E891" s="97" t="s">
        <v>98</v>
      </c>
      <c r="F891" s="59">
        <f>'пр.4 вед.стр.'!G863</f>
        <v>159.69999999999999</v>
      </c>
      <c r="G891" s="59">
        <f>'пр.4 вед.стр.'!H863</f>
        <v>159.69999999999999</v>
      </c>
      <c r="H891" s="59">
        <f>'пр.4 вед.стр.'!I863</f>
        <v>0</v>
      </c>
      <c r="I891" s="190">
        <f t="shared" si="390"/>
        <v>100</v>
      </c>
    </row>
    <row r="892" spans="1:9">
      <c r="A892" s="16" t="s">
        <v>174</v>
      </c>
      <c r="B892" s="20" t="s">
        <v>70</v>
      </c>
      <c r="C892" s="20" t="s">
        <v>62</v>
      </c>
      <c r="D892" s="97" t="s">
        <v>496</v>
      </c>
      <c r="E892" s="97"/>
      <c r="F892" s="59">
        <f>F893</f>
        <v>12</v>
      </c>
      <c r="G892" s="59">
        <f t="shared" ref="G892:H893" si="413">G893</f>
        <v>10.3</v>
      </c>
      <c r="H892" s="59">
        <f t="shared" si="413"/>
        <v>1.6999999999999993</v>
      </c>
      <c r="I892" s="190">
        <f t="shared" si="390"/>
        <v>85.833333333333343</v>
      </c>
    </row>
    <row r="893" spans="1:9" ht="25.5">
      <c r="A893" s="16" t="s">
        <v>93</v>
      </c>
      <c r="B893" s="20" t="s">
        <v>70</v>
      </c>
      <c r="C893" s="20" t="s">
        <v>62</v>
      </c>
      <c r="D893" s="97" t="s">
        <v>496</v>
      </c>
      <c r="E893" s="97" t="s">
        <v>94</v>
      </c>
      <c r="F893" s="59">
        <f>F894</f>
        <v>12</v>
      </c>
      <c r="G893" s="59">
        <f t="shared" si="413"/>
        <v>10.3</v>
      </c>
      <c r="H893" s="59">
        <f t="shared" si="413"/>
        <v>1.6999999999999993</v>
      </c>
      <c r="I893" s="190">
        <f t="shared" si="390"/>
        <v>85.833333333333343</v>
      </c>
    </row>
    <row r="894" spans="1:9">
      <c r="A894" s="16" t="s">
        <v>97</v>
      </c>
      <c r="B894" s="20" t="s">
        <v>70</v>
      </c>
      <c r="C894" s="20" t="s">
        <v>62</v>
      </c>
      <c r="D894" s="97" t="s">
        <v>496</v>
      </c>
      <c r="E894" s="97" t="s">
        <v>98</v>
      </c>
      <c r="F894" s="59">
        <f>'пр.4 вед.стр.'!G866</f>
        <v>12</v>
      </c>
      <c r="G894" s="59">
        <f>'пр.4 вед.стр.'!H866</f>
        <v>10.3</v>
      </c>
      <c r="H894" s="59">
        <f>'пр.4 вед.стр.'!I866</f>
        <v>1.6999999999999993</v>
      </c>
      <c r="I894" s="190">
        <f t="shared" si="390"/>
        <v>85.833333333333343</v>
      </c>
    </row>
    <row r="895" spans="1:9">
      <c r="A895" s="16" t="s">
        <v>27</v>
      </c>
      <c r="B895" s="20" t="s">
        <v>70</v>
      </c>
      <c r="C895" s="20" t="s">
        <v>62</v>
      </c>
      <c r="D895" s="97" t="s">
        <v>497</v>
      </c>
      <c r="E895" s="97"/>
      <c r="F895" s="59">
        <f>F896</f>
        <v>519.4</v>
      </c>
      <c r="G895" s="59">
        <f t="shared" ref="G895:H897" si="414">G896</f>
        <v>515.9</v>
      </c>
      <c r="H895" s="59">
        <f t="shared" si="414"/>
        <v>3.5</v>
      </c>
      <c r="I895" s="190">
        <f t="shared" si="390"/>
        <v>99.326145552560646</v>
      </c>
    </row>
    <row r="896" spans="1:9">
      <c r="A896" s="11" t="s">
        <v>498</v>
      </c>
      <c r="B896" s="20" t="s">
        <v>70</v>
      </c>
      <c r="C896" s="20" t="s">
        <v>62</v>
      </c>
      <c r="D896" s="97" t="s">
        <v>499</v>
      </c>
      <c r="E896" s="97"/>
      <c r="F896" s="59">
        <f>F897</f>
        <v>519.4</v>
      </c>
      <c r="G896" s="59">
        <f t="shared" si="414"/>
        <v>515.9</v>
      </c>
      <c r="H896" s="59">
        <f t="shared" si="414"/>
        <v>3.5</v>
      </c>
      <c r="I896" s="190">
        <f t="shared" si="390"/>
        <v>99.326145552560646</v>
      </c>
    </row>
    <row r="897" spans="1:22" ht="25.5">
      <c r="A897" s="16" t="s">
        <v>93</v>
      </c>
      <c r="B897" s="20" t="s">
        <v>70</v>
      </c>
      <c r="C897" s="20" t="s">
        <v>62</v>
      </c>
      <c r="D897" s="97" t="s">
        <v>499</v>
      </c>
      <c r="E897" s="97" t="s">
        <v>94</v>
      </c>
      <c r="F897" s="59">
        <f>F898</f>
        <v>519.4</v>
      </c>
      <c r="G897" s="59">
        <f t="shared" si="414"/>
        <v>515.9</v>
      </c>
      <c r="H897" s="59">
        <f t="shared" si="414"/>
        <v>3.5</v>
      </c>
      <c r="I897" s="190">
        <f t="shared" si="390"/>
        <v>99.326145552560646</v>
      </c>
    </row>
    <row r="898" spans="1:22">
      <c r="A898" s="16" t="s">
        <v>97</v>
      </c>
      <c r="B898" s="20" t="s">
        <v>70</v>
      </c>
      <c r="C898" s="20" t="s">
        <v>62</v>
      </c>
      <c r="D898" s="97" t="s">
        <v>499</v>
      </c>
      <c r="E898" s="97" t="s">
        <v>98</v>
      </c>
      <c r="F898" s="59">
        <f>'пр.4 вед.стр.'!G870</f>
        <v>519.4</v>
      </c>
      <c r="G898" s="59">
        <f>'пр.4 вед.стр.'!H870</f>
        <v>515.9</v>
      </c>
      <c r="H898" s="59">
        <f>'пр.4 вед.стр.'!I870</f>
        <v>3.5</v>
      </c>
      <c r="I898" s="190">
        <f t="shared" si="390"/>
        <v>99.326145552560646</v>
      </c>
    </row>
    <row r="899" spans="1:22">
      <c r="A899" s="15" t="s">
        <v>81</v>
      </c>
      <c r="B899" s="31" t="s">
        <v>74</v>
      </c>
      <c r="C899" s="31" t="s">
        <v>33</v>
      </c>
      <c r="D899" s="97"/>
      <c r="E899" s="97"/>
      <c r="F899" s="143">
        <f>F900</f>
        <v>5617</v>
      </c>
      <c r="G899" s="143">
        <f t="shared" ref="G899:H903" si="415">G900</f>
        <v>5617</v>
      </c>
      <c r="H899" s="143">
        <f t="shared" si="415"/>
        <v>0</v>
      </c>
      <c r="I899" s="190">
        <f t="shared" si="390"/>
        <v>100</v>
      </c>
    </row>
    <row r="900" spans="1:22">
      <c r="A900" s="15" t="s">
        <v>12</v>
      </c>
      <c r="B900" s="31" t="s">
        <v>74</v>
      </c>
      <c r="C900" s="31" t="s">
        <v>63</v>
      </c>
      <c r="D900" s="100"/>
      <c r="E900" s="97"/>
      <c r="F900" s="143">
        <f>F901</f>
        <v>5617</v>
      </c>
      <c r="G900" s="143">
        <f t="shared" si="415"/>
        <v>5617</v>
      </c>
      <c r="H900" s="143">
        <f t="shared" si="415"/>
        <v>0</v>
      </c>
      <c r="I900" s="190">
        <f t="shared" si="390"/>
        <v>100</v>
      </c>
    </row>
    <row r="901" spans="1:22" ht="25.5">
      <c r="A901" s="16" t="s">
        <v>169</v>
      </c>
      <c r="B901" s="20" t="s">
        <v>74</v>
      </c>
      <c r="C901" s="20" t="s">
        <v>63</v>
      </c>
      <c r="D901" s="97" t="s">
        <v>453</v>
      </c>
      <c r="E901" s="97"/>
      <c r="F901" s="59">
        <f>F902</f>
        <v>5617</v>
      </c>
      <c r="G901" s="59">
        <f t="shared" si="415"/>
        <v>5617</v>
      </c>
      <c r="H901" s="59">
        <f t="shared" si="415"/>
        <v>0</v>
      </c>
      <c r="I901" s="190">
        <f t="shared" si="390"/>
        <v>100</v>
      </c>
    </row>
    <row r="902" spans="1:22" ht="25.5">
      <c r="A902" s="16" t="s">
        <v>183</v>
      </c>
      <c r="B902" s="20" t="s">
        <v>74</v>
      </c>
      <c r="C902" s="20" t="s">
        <v>63</v>
      </c>
      <c r="D902" s="97" t="s">
        <v>454</v>
      </c>
      <c r="E902" s="97"/>
      <c r="F902" s="59">
        <f>F903</f>
        <v>5617</v>
      </c>
      <c r="G902" s="59">
        <f t="shared" si="415"/>
        <v>5617</v>
      </c>
      <c r="H902" s="59">
        <f t="shared" si="415"/>
        <v>0</v>
      </c>
      <c r="I902" s="190">
        <f t="shared" si="390"/>
        <v>100</v>
      </c>
    </row>
    <row r="903" spans="1:22" ht="25.5">
      <c r="A903" s="16" t="s">
        <v>93</v>
      </c>
      <c r="B903" s="20" t="s">
        <v>74</v>
      </c>
      <c r="C903" s="20" t="s">
        <v>63</v>
      </c>
      <c r="D903" s="97" t="s">
        <v>454</v>
      </c>
      <c r="E903" s="97" t="s">
        <v>94</v>
      </c>
      <c r="F903" s="59">
        <f>F904</f>
        <v>5617</v>
      </c>
      <c r="G903" s="59">
        <f t="shared" si="415"/>
        <v>5617</v>
      </c>
      <c r="H903" s="59">
        <f t="shared" si="415"/>
        <v>0</v>
      </c>
      <c r="I903" s="190">
        <f t="shared" si="390"/>
        <v>100</v>
      </c>
    </row>
    <row r="904" spans="1:22">
      <c r="A904" s="16" t="s">
        <v>95</v>
      </c>
      <c r="B904" s="20" t="s">
        <v>74</v>
      </c>
      <c r="C904" s="20" t="s">
        <v>63</v>
      </c>
      <c r="D904" s="97" t="s">
        <v>454</v>
      </c>
      <c r="E904" s="97" t="s">
        <v>96</v>
      </c>
      <c r="F904" s="59">
        <f>'пр.4 вед.стр.'!G352</f>
        <v>5617</v>
      </c>
      <c r="G904" s="59">
        <f>'пр.4 вед.стр.'!H352</f>
        <v>5617</v>
      </c>
      <c r="H904" s="59">
        <f>'пр.4 вед.стр.'!I352</f>
        <v>0</v>
      </c>
      <c r="I904" s="190">
        <f t="shared" si="390"/>
        <v>100</v>
      </c>
    </row>
    <row r="905" spans="1:22" ht="25.5">
      <c r="A905" s="15" t="s">
        <v>196</v>
      </c>
      <c r="B905" s="31" t="s">
        <v>83</v>
      </c>
      <c r="C905" s="31" t="s">
        <v>33</v>
      </c>
      <c r="D905" s="100"/>
      <c r="E905" s="100"/>
      <c r="F905" s="143">
        <f>F906</f>
        <v>12</v>
      </c>
      <c r="G905" s="143">
        <f t="shared" ref="G905:H909" si="416">G906</f>
        <v>12</v>
      </c>
      <c r="H905" s="143">
        <f t="shared" si="416"/>
        <v>0</v>
      </c>
      <c r="I905" s="190">
        <f t="shared" si="390"/>
        <v>100</v>
      </c>
    </row>
    <row r="906" spans="1:22" s="58" customFormat="1">
      <c r="A906" s="15" t="str">
        <f>'пр.4 вед.стр.'!A252</f>
        <v>Обслуживание государственного внутреннего и муниципального долга</v>
      </c>
      <c r="B906" s="31" t="s">
        <v>83</v>
      </c>
      <c r="C906" s="31" t="s">
        <v>62</v>
      </c>
      <c r="D906" s="100"/>
      <c r="E906" s="100"/>
      <c r="F906" s="143">
        <f>F907</f>
        <v>12</v>
      </c>
      <c r="G906" s="143">
        <f t="shared" si="416"/>
        <v>12</v>
      </c>
      <c r="H906" s="143">
        <f t="shared" si="416"/>
        <v>0</v>
      </c>
      <c r="I906" s="190">
        <f t="shared" ref="I906:I911" si="417">G906/F906*100</f>
        <v>100</v>
      </c>
      <c r="J906" s="70"/>
      <c r="K906" s="68"/>
      <c r="L906" s="68"/>
      <c r="M906" s="68"/>
      <c r="N906" s="68"/>
      <c r="O906" s="70"/>
      <c r="P906" s="70"/>
      <c r="Q906" s="70"/>
      <c r="R906" s="70"/>
      <c r="S906" s="70"/>
      <c r="T906" s="70"/>
      <c r="U906" s="70"/>
      <c r="V906" s="70"/>
    </row>
    <row r="907" spans="1:22" s="58" customFormat="1">
      <c r="A907" s="16" t="str">
        <f>'пр.4 вед.стр.'!A253</f>
        <v>Процентные платежи по долговым обязательствам</v>
      </c>
      <c r="B907" s="20" t="s">
        <v>83</v>
      </c>
      <c r="C907" s="20" t="s">
        <v>62</v>
      </c>
      <c r="D907" s="97" t="s">
        <v>442</v>
      </c>
      <c r="E907" s="97"/>
      <c r="F907" s="59">
        <f>F908</f>
        <v>12</v>
      </c>
      <c r="G907" s="59">
        <f t="shared" si="416"/>
        <v>12</v>
      </c>
      <c r="H907" s="59">
        <f t="shared" si="416"/>
        <v>0</v>
      </c>
      <c r="I907" s="190">
        <f t="shared" si="417"/>
        <v>100</v>
      </c>
      <c r="J907" s="70"/>
      <c r="K907" s="68"/>
      <c r="L907" s="68"/>
      <c r="M907" s="68"/>
      <c r="N907" s="68"/>
      <c r="O907" s="70"/>
      <c r="P907" s="70"/>
      <c r="Q907" s="70"/>
      <c r="R907" s="70"/>
      <c r="S907" s="70"/>
      <c r="T907" s="70"/>
      <c r="U907" s="70"/>
      <c r="V907" s="70"/>
    </row>
    <row r="908" spans="1:22" s="58" customFormat="1">
      <c r="A908" s="16" t="str">
        <f>'пр.4 вед.стр.'!A254</f>
        <v>Процентные платежи по муниципальному долгу</v>
      </c>
      <c r="B908" s="20" t="s">
        <v>83</v>
      </c>
      <c r="C908" s="20" t="s">
        <v>62</v>
      </c>
      <c r="D908" s="97" t="s">
        <v>443</v>
      </c>
      <c r="E908" s="97"/>
      <c r="F908" s="59">
        <f>F909</f>
        <v>12</v>
      </c>
      <c r="G908" s="59">
        <f t="shared" si="416"/>
        <v>12</v>
      </c>
      <c r="H908" s="59">
        <f t="shared" si="416"/>
        <v>0</v>
      </c>
      <c r="I908" s="190">
        <f t="shared" si="417"/>
        <v>100</v>
      </c>
      <c r="J908" s="70"/>
      <c r="K908" s="68"/>
      <c r="L908" s="68"/>
      <c r="M908" s="68"/>
      <c r="N908" s="68"/>
      <c r="O908" s="70"/>
      <c r="P908" s="70"/>
      <c r="Q908" s="70"/>
      <c r="R908" s="70"/>
      <c r="S908" s="70"/>
      <c r="T908" s="70"/>
      <c r="U908" s="70"/>
      <c r="V908" s="70"/>
    </row>
    <row r="909" spans="1:22" s="58" customFormat="1">
      <c r="A909" s="16" t="str">
        <f>'пр.4 вед.стр.'!A255</f>
        <v>Обслуживание государственного (муниципального) долга</v>
      </c>
      <c r="B909" s="20" t="s">
        <v>83</v>
      </c>
      <c r="C909" s="20" t="s">
        <v>62</v>
      </c>
      <c r="D909" s="97" t="s">
        <v>443</v>
      </c>
      <c r="E909" s="97" t="s">
        <v>105</v>
      </c>
      <c r="F909" s="59">
        <f>F910</f>
        <v>12</v>
      </c>
      <c r="G909" s="59">
        <f t="shared" si="416"/>
        <v>12</v>
      </c>
      <c r="H909" s="59">
        <f t="shared" si="416"/>
        <v>0</v>
      </c>
      <c r="I909" s="190">
        <f t="shared" si="417"/>
        <v>100</v>
      </c>
      <c r="J909" s="70"/>
      <c r="K909" s="68"/>
      <c r="L909" s="68"/>
      <c r="M909" s="68"/>
      <c r="N909" s="68"/>
      <c r="O909" s="70"/>
      <c r="P909" s="70"/>
      <c r="Q909" s="70"/>
      <c r="R909" s="70"/>
      <c r="S909" s="70"/>
      <c r="T909" s="70"/>
      <c r="U909" s="70"/>
      <c r="V909" s="70"/>
    </row>
    <row r="910" spans="1:22" s="58" customFormat="1">
      <c r="A910" s="16" t="str">
        <f>'пр.4 вед.стр.'!A256</f>
        <v>Обслуживание муниципального долга</v>
      </c>
      <c r="B910" s="20" t="s">
        <v>83</v>
      </c>
      <c r="C910" s="20" t="s">
        <v>62</v>
      </c>
      <c r="D910" s="97" t="s">
        <v>443</v>
      </c>
      <c r="E910" s="97" t="s">
        <v>107</v>
      </c>
      <c r="F910" s="59">
        <f>'пр.4 вед.стр.'!G256</f>
        <v>12</v>
      </c>
      <c r="G910" s="59">
        <f>'пр.4 вед.стр.'!H256</f>
        <v>12</v>
      </c>
      <c r="H910" s="59">
        <f>'пр.4 вед.стр.'!I256</f>
        <v>0</v>
      </c>
      <c r="I910" s="190">
        <f t="shared" si="417"/>
        <v>100</v>
      </c>
      <c r="J910" s="70"/>
      <c r="K910" s="68"/>
      <c r="L910" s="68"/>
      <c r="M910" s="68"/>
      <c r="N910" s="68"/>
      <c r="O910" s="70"/>
      <c r="P910" s="70"/>
      <c r="Q910" s="70"/>
      <c r="R910" s="70"/>
      <c r="S910" s="70"/>
      <c r="T910" s="70"/>
      <c r="U910" s="70"/>
      <c r="V910" s="70"/>
    </row>
    <row r="911" spans="1:22">
      <c r="A911" s="30" t="s">
        <v>73</v>
      </c>
      <c r="B911" s="32"/>
      <c r="C911" s="32"/>
      <c r="D911" s="97"/>
      <c r="E911" s="97"/>
      <c r="F911" s="146">
        <f>F9+F186+F193+F217+F265+F339+F354+F665+F784+F849+F899+F905</f>
        <v>776848.89999999991</v>
      </c>
      <c r="G911" s="146">
        <f t="shared" ref="G911:H911" si="418">G9+G186+G193+G217+G265+G339+G354+G665+G784+G849+G899+G905</f>
        <v>764743</v>
      </c>
      <c r="H911" s="146">
        <f t="shared" si="418"/>
        <v>12105.899999999996</v>
      </c>
      <c r="I911" s="190">
        <f t="shared" si="417"/>
        <v>98.441666069167383</v>
      </c>
      <c r="K911" s="120"/>
    </row>
    <row r="912" spans="1:22">
      <c r="F912" s="119"/>
    </row>
    <row r="913" spans="6:11">
      <c r="F913" s="119"/>
      <c r="G913" s="119"/>
      <c r="H913" s="119"/>
      <c r="I913" s="119"/>
      <c r="K913" s="120"/>
    </row>
    <row r="914" spans="6:11">
      <c r="F914" s="119"/>
      <c r="G914" s="120"/>
    </row>
    <row r="971" spans="1:6" s="68" customFormat="1">
      <c r="A971" s="105"/>
      <c r="B971" s="155"/>
      <c r="C971" s="155"/>
      <c r="D971" s="156"/>
      <c r="E971" s="156"/>
      <c r="F971" s="157"/>
    </row>
    <row r="1041" spans="11:14">
      <c r="K1041" s="70"/>
      <c r="L1041" s="70"/>
      <c r="M1041" s="70"/>
      <c r="N1041" s="70"/>
    </row>
    <row r="1042" spans="11:14">
      <c r="K1042" s="70"/>
      <c r="L1042" s="70"/>
      <c r="M1042" s="70"/>
      <c r="N1042" s="70"/>
    </row>
  </sheetData>
  <autoFilter ref="A8:V911">
    <filterColumn colId="3"/>
  </autoFilter>
  <mergeCells count="5">
    <mergeCell ref="A4:I4"/>
    <mergeCell ref="A3:I3"/>
    <mergeCell ref="A2:I2"/>
    <mergeCell ref="A1:I1"/>
    <mergeCell ref="A5:I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T1010"/>
  <sheetViews>
    <sheetView view="pageBreakPreview" topLeftCell="A24" zoomScaleSheetLayoutView="100" workbookViewId="0">
      <selection sqref="A1:K40"/>
    </sheetView>
  </sheetViews>
  <sheetFormatPr defaultColWidth="9.140625" defaultRowHeight="12.75"/>
  <cols>
    <col min="1" max="1" width="54" style="11" customWidth="1"/>
    <col min="2" max="2" width="6.7109375" style="36" bestFit="1" customWidth="1"/>
    <col min="3" max="3" width="3.85546875" style="36" customWidth="1"/>
    <col min="4" max="4" width="3.7109375" style="36" customWidth="1"/>
    <col min="5" max="5" width="15" style="99" customWidth="1"/>
    <col min="6" max="6" width="5.28515625" style="99" customWidth="1"/>
    <col min="7" max="7" width="13.28515625" style="158" customWidth="1"/>
    <col min="8" max="10" width="9.140625" style="11"/>
    <col min="11" max="11" width="0.28515625" style="11" customWidth="1"/>
    <col min="12" max="16384" width="9.140625" style="11"/>
  </cols>
  <sheetData>
    <row r="1" spans="1:20">
      <c r="A1" s="301" t="s">
        <v>629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20" ht="13.15" customHeight="1">
      <c r="A2" s="300" t="str">
        <f>'пр2 по разд'!A2:D2</f>
        <v>к решению Собрания представителей Сусуманского городского округа</v>
      </c>
      <c r="B2" s="300"/>
      <c r="C2" s="300"/>
      <c r="D2" s="300"/>
      <c r="E2" s="300"/>
      <c r="F2" s="306"/>
      <c r="G2" s="305"/>
      <c r="H2" s="305"/>
      <c r="I2" s="305"/>
      <c r="J2" s="305"/>
      <c r="M2" s="68"/>
      <c r="N2" s="68"/>
      <c r="O2" s="68"/>
      <c r="P2" s="68"/>
      <c r="Q2" s="68"/>
      <c r="R2" s="68"/>
      <c r="S2" s="68"/>
      <c r="T2" s="68"/>
    </row>
    <row r="3" spans="1:20" ht="13.15" customHeight="1">
      <c r="A3" s="300" t="str">
        <f>'пр2 по разд'!A3:G3</f>
        <v>"Об исполнении бюджета муниципального образования "Сусуманский городской округ" за 2019 год"</v>
      </c>
      <c r="B3" s="300"/>
      <c r="C3" s="300"/>
      <c r="D3" s="300"/>
      <c r="E3" s="300"/>
      <c r="F3" s="306"/>
      <c r="G3" s="305"/>
      <c r="H3" s="305"/>
      <c r="I3" s="305"/>
      <c r="J3" s="305"/>
      <c r="M3" s="68"/>
      <c r="N3" s="68"/>
      <c r="O3" s="68"/>
      <c r="P3" s="68"/>
      <c r="Q3" s="68"/>
      <c r="R3" s="68"/>
      <c r="S3" s="68"/>
      <c r="T3" s="68"/>
    </row>
    <row r="4" spans="1:20">
      <c r="A4" s="300" t="s">
        <v>773</v>
      </c>
      <c r="B4" s="300"/>
      <c r="C4" s="300"/>
      <c r="D4" s="300"/>
      <c r="E4" s="300"/>
      <c r="F4" s="306"/>
      <c r="G4" s="305"/>
      <c r="H4" s="305"/>
      <c r="I4" s="305"/>
      <c r="J4" s="305"/>
      <c r="M4" s="68"/>
      <c r="N4" s="68"/>
      <c r="O4" s="68"/>
      <c r="P4" s="68"/>
      <c r="Q4" s="68"/>
      <c r="R4" s="68"/>
      <c r="S4" s="68"/>
      <c r="T4" s="68"/>
    </row>
    <row r="5" spans="1:20" ht="32.450000000000003" customHeight="1">
      <c r="A5" s="304" t="s">
        <v>705</v>
      </c>
      <c r="B5" s="304"/>
      <c r="C5" s="304"/>
      <c r="D5" s="304"/>
      <c r="E5" s="304"/>
      <c r="F5" s="304"/>
      <c r="G5" s="304"/>
      <c r="H5" s="305"/>
      <c r="I5" s="305"/>
      <c r="J5" s="305"/>
      <c r="M5" s="68"/>
      <c r="N5" s="68"/>
      <c r="O5" s="68"/>
      <c r="P5" s="68"/>
      <c r="Q5" s="68"/>
      <c r="R5" s="68"/>
      <c r="S5" s="68"/>
      <c r="T5" s="68"/>
    </row>
    <row r="6" spans="1:20" ht="26.25" customHeight="1">
      <c r="J6" s="158" t="s">
        <v>1</v>
      </c>
      <c r="M6" s="68"/>
      <c r="N6" s="69"/>
      <c r="O6" s="69"/>
      <c r="P6" s="69"/>
      <c r="Q6" s="69"/>
      <c r="R6" s="68"/>
      <c r="S6" s="68"/>
      <c r="T6" s="68"/>
    </row>
    <row r="7" spans="1:20" ht="31.5">
      <c r="A7" s="24" t="s">
        <v>29</v>
      </c>
      <c r="B7" s="37" t="s">
        <v>0</v>
      </c>
      <c r="C7" s="37" t="s">
        <v>42</v>
      </c>
      <c r="D7" s="37" t="s">
        <v>41</v>
      </c>
      <c r="E7" s="100" t="s">
        <v>43</v>
      </c>
      <c r="F7" s="100" t="s">
        <v>44</v>
      </c>
      <c r="G7" s="159" t="str">
        <f>пр.3!F7</f>
        <v>Сумма</v>
      </c>
      <c r="H7" s="176" t="s">
        <v>697</v>
      </c>
      <c r="I7" s="176" t="s">
        <v>698</v>
      </c>
      <c r="J7" s="179" t="s">
        <v>699</v>
      </c>
      <c r="M7" s="68"/>
      <c r="N7" s="69"/>
      <c r="O7" s="69"/>
      <c r="P7" s="71"/>
      <c r="Q7" s="71"/>
      <c r="R7" s="68"/>
      <c r="S7" s="68"/>
      <c r="T7" s="68"/>
    </row>
    <row r="8" spans="1:20">
      <c r="A8" s="24">
        <v>1</v>
      </c>
      <c r="B8" s="37">
        <v>2</v>
      </c>
      <c r="C8" s="37">
        <v>3</v>
      </c>
      <c r="D8" s="37">
        <v>4</v>
      </c>
      <c r="E8" s="106">
        <v>5</v>
      </c>
      <c r="F8" s="106">
        <v>6</v>
      </c>
      <c r="G8" s="160">
        <v>7</v>
      </c>
      <c r="H8" s="24">
        <v>8</v>
      </c>
      <c r="I8" s="24">
        <v>9</v>
      </c>
      <c r="J8" s="180">
        <v>10</v>
      </c>
      <c r="M8" s="68"/>
      <c r="N8" s="69"/>
      <c r="O8" s="69"/>
      <c r="P8" s="71"/>
      <c r="Q8" s="71"/>
      <c r="R8" s="68"/>
      <c r="S8" s="68"/>
      <c r="T8" s="68"/>
    </row>
    <row r="9" spans="1:20">
      <c r="A9" s="290" t="s">
        <v>128</v>
      </c>
      <c r="B9" s="31" t="s">
        <v>268</v>
      </c>
      <c r="C9" s="31"/>
      <c r="D9" s="32"/>
      <c r="E9" s="97"/>
      <c r="F9" s="97"/>
      <c r="G9" s="185">
        <f>G10+G105+G153+G163+G129+G98+G147</f>
        <v>161706</v>
      </c>
      <c r="H9" s="185">
        <f>H10+H105+H153+H163+H129+H98+H147</f>
        <v>159567.1</v>
      </c>
      <c r="I9" s="185">
        <f>G9-H9</f>
        <v>2138.8999999999942</v>
      </c>
      <c r="J9" s="188">
        <f>H9/G9*100</f>
        <v>98.677290885928798</v>
      </c>
      <c r="M9" s="68"/>
      <c r="N9" s="69"/>
      <c r="O9" s="69"/>
      <c r="P9" s="71"/>
      <c r="Q9" s="71"/>
      <c r="R9" s="68"/>
      <c r="S9" s="68"/>
      <c r="T9" s="68"/>
    </row>
    <row r="10" spans="1:20">
      <c r="A10" s="15" t="s">
        <v>2</v>
      </c>
      <c r="B10" s="31" t="s">
        <v>268</v>
      </c>
      <c r="C10" s="31" t="s">
        <v>62</v>
      </c>
      <c r="D10" s="31" t="s">
        <v>33</v>
      </c>
      <c r="E10" s="97"/>
      <c r="F10" s="97"/>
      <c r="G10" s="185">
        <f>G11+G17+G51</f>
        <v>97378.3</v>
      </c>
      <c r="H10" s="185">
        <f>H11+H17+H51</f>
        <v>95887.400000000009</v>
      </c>
      <c r="I10" s="185">
        <f>G10-H10</f>
        <v>1490.8999999999942</v>
      </c>
      <c r="J10" s="188">
        <f>H10/G10*100</f>
        <v>98.468960743820759</v>
      </c>
      <c r="M10" s="68"/>
      <c r="N10" s="69"/>
      <c r="O10" s="69"/>
      <c r="P10" s="71"/>
      <c r="Q10" s="71"/>
      <c r="R10" s="68"/>
      <c r="S10" s="68"/>
      <c r="T10" s="68"/>
    </row>
    <row r="11" spans="1:20" ht="25.5">
      <c r="A11" s="14" t="s">
        <v>14</v>
      </c>
      <c r="B11" s="31" t="s">
        <v>268</v>
      </c>
      <c r="C11" s="31" t="s">
        <v>62</v>
      </c>
      <c r="D11" s="31" t="s">
        <v>63</v>
      </c>
      <c r="E11" s="100"/>
      <c r="F11" s="100"/>
      <c r="G11" s="185">
        <f t="shared" ref="G11:H15" si="0">G12</f>
        <v>4834</v>
      </c>
      <c r="H11" s="185">
        <f t="shared" si="0"/>
        <v>4832.6000000000004</v>
      </c>
      <c r="I11" s="185">
        <f>G11-H11</f>
        <v>1.3999999999996362</v>
      </c>
      <c r="J11" s="188">
        <f>H11/G11*100</f>
        <v>99.971038477451387</v>
      </c>
      <c r="M11" s="68"/>
      <c r="N11" s="69"/>
      <c r="O11" s="69"/>
      <c r="P11" s="71"/>
      <c r="Q11" s="71"/>
      <c r="R11" s="68"/>
      <c r="S11" s="68"/>
      <c r="T11" s="68"/>
    </row>
    <row r="12" spans="1:20" ht="38.25">
      <c r="A12" s="16" t="s">
        <v>275</v>
      </c>
      <c r="B12" s="20" t="s">
        <v>268</v>
      </c>
      <c r="C12" s="20" t="s">
        <v>62</v>
      </c>
      <c r="D12" s="20" t="s">
        <v>63</v>
      </c>
      <c r="E12" s="97" t="s">
        <v>173</v>
      </c>
      <c r="F12" s="97"/>
      <c r="G12" s="187">
        <f t="shared" si="0"/>
        <v>4834</v>
      </c>
      <c r="H12" s="187">
        <f t="shared" si="0"/>
        <v>4832.6000000000004</v>
      </c>
      <c r="I12" s="187">
        <f>G12-H12</f>
        <v>1.3999999999996362</v>
      </c>
      <c r="J12" s="189">
        <f>H12/G12*100</f>
        <v>99.971038477451387</v>
      </c>
      <c r="M12" s="68"/>
      <c r="N12" s="69"/>
      <c r="O12" s="69"/>
      <c r="P12" s="71"/>
      <c r="Q12" s="71"/>
      <c r="R12" s="68"/>
      <c r="S12" s="68"/>
      <c r="T12" s="68"/>
    </row>
    <row r="13" spans="1:20">
      <c r="A13" s="16" t="s">
        <v>15</v>
      </c>
      <c r="B13" s="20" t="s">
        <v>268</v>
      </c>
      <c r="C13" s="20" t="s">
        <v>62</v>
      </c>
      <c r="D13" s="20" t="s">
        <v>63</v>
      </c>
      <c r="E13" s="97" t="s">
        <v>412</v>
      </c>
      <c r="F13" s="97"/>
      <c r="G13" s="187">
        <f t="shared" si="0"/>
        <v>4834</v>
      </c>
      <c r="H13" s="187">
        <f t="shared" si="0"/>
        <v>4832.6000000000004</v>
      </c>
      <c r="I13" s="187">
        <f t="shared" ref="I13:I14" si="1">G13-H13</f>
        <v>1.3999999999996362</v>
      </c>
      <c r="J13" s="189">
        <f t="shared" ref="J13:J14" si="2">H13/G13*100</f>
        <v>99.971038477451387</v>
      </c>
      <c r="M13" s="68"/>
      <c r="N13" s="69"/>
      <c r="O13" s="69"/>
      <c r="P13" s="71"/>
      <c r="Q13" s="71"/>
      <c r="R13" s="68"/>
      <c r="S13" s="68"/>
      <c r="T13" s="68"/>
    </row>
    <row r="14" spans="1:20" ht="25.5">
      <c r="A14" s="16" t="s">
        <v>175</v>
      </c>
      <c r="B14" s="20" t="s">
        <v>268</v>
      </c>
      <c r="C14" s="20" t="s">
        <v>62</v>
      </c>
      <c r="D14" s="20" t="s">
        <v>63</v>
      </c>
      <c r="E14" s="97" t="s">
        <v>413</v>
      </c>
      <c r="F14" s="97"/>
      <c r="G14" s="187">
        <f t="shared" si="0"/>
        <v>4834</v>
      </c>
      <c r="H14" s="187">
        <f t="shared" si="0"/>
        <v>4832.6000000000004</v>
      </c>
      <c r="I14" s="187">
        <f t="shared" si="1"/>
        <v>1.3999999999996362</v>
      </c>
      <c r="J14" s="189">
        <f t="shared" si="2"/>
        <v>99.971038477451387</v>
      </c>
      <c r="M14" s="68"/>
      <c r="N14" s="69"/>
      <c r="O14" s="69"/>
      <c r="P14" s="71"/>
      <c r="Q14" s="71"/>
      <c r="R14" s="68"/>
      <c r="S14" s="68"/>
      <c r="T14" s="68"/>
    </row>
    <row r="15" spans="1:20" ht="51">
      <c r="A15" s="16" t="s">
        <v>90</v>
      </c>
      <c r="B15" s="20" t="s">
        <v>268</v>
      </c>
      <c r="C15" s="20" t="s">
        <v>62</v>
      </c>
      <c r="D15" s="20" t="s">
        <v>63</v>
      </c>
      <c r="E15" s="97" t="s">
        <v>413</v>
      </c>
      <c r="F15" s="97" t="s">
        <v>91</v>
      </c>
      <c r="G15" s="187">
        <f t="shared" si="0"/>
        <v>4834</v>
      </c>
      <c r="H15" s="187">
        <f t="shared" si="0"/>
        <v>4832.6000000000004</v>
      </c>
      <c r="I15" s="187">
        <f t="shared" ref="I15:I78" si="3">G15-H15</f>
        <v>1.3999999999996362</v>
      </c>
      <c r="J15" s="189">
        <f t="shared" ref="J15:J78" si="4">H15/G15*100</f>
        <v>99.971038477451387</v>
      </c>
      <c r="M15" s="68"/>
      <c r="N15" s="69"/>
      <c r="O15" s="69"/>
      <c r="P15" s="71"/>
      <c r="Q15" s="71"/>
      <c r="R15" s="68"/>
      <c r="S15" s="68"/>
      <c r="T15" s="68"/>
    </row>
    <row r="16" spans="1:20" ht="25.5">
      <c r="A16" s="16" t="s">
        <v>87</v>
      </c>
      <c r="B16" s="20" t="s">
        <v>268</v>
      </c>
      <c r="C16" s="20" t="s">
        <v>62</v>
      </c>
      <c r="D16" s="20" t="s">
        <v>63</v>
      </c>
      <c r="E16" s="97" t="s">
        <v>413</v>
      </c>
      <c r="F16" s="97" t="s">
        <v>88</v>
      </c>
      <c r="G16" s="187">
        <f>4751.4+82.6</f>
        <v>4834</v>
      </c>
      <c r="H16" s="187">
        <f>4050+782.6</f>
        <v>4832.6000000000004</v>
      </c>
      <c r="I16" s="187">
        <f t="shared" si="3"/>
        <v>1.3999999999996362</v>
      </c>
      <c r="J16" s="189">
        <f t="shared" si="4"/>
        <v>99.971038477451387</v>
      </c>
      <c r="M16" s="68"/>
      <c r="N16" s="69"/>
      <c r="O16" s="69"/>
      <c r="P16" s="71"/>
      <c r="Q16" s="71"/>
      <c r="R16" s="68"/>
      <c r="S16" s="68"/>
      <c r="T16" s="68"/>
    </row>
    <row r="17" spans="1:20" ht="38.25">
      <c r="A17" s="15" t="s">
        <v>16</v>
      </c>
      <c r="B17" s="31" t="s">
        <v>268</v>
      </c>
      <c r="C17" s="31" t="s">
        <v>62</v>
      </c>
      <c r="D17" s="31" t="s">
        <v>64</v>
      </c>
      <c r="E17" s="100"/>
      <c r="F17" s="100"/>
      <c r="G17" s="185">
        <f>G31+G18</f>
        <v>90848.2</v>
      </c>
      <c r="H17" s="185">
        <f>H31+H18</f>
        <v>89841.900000000009</v>
      </c>
      <c r="I17" s="187">
        <f t="shared" si="3"/>
        <v>1006.2999999999884</v>
      </c>
      <c r="J17" s="189">
        <f t="shared" si="4"/>
        <v>98.892328081348907</v>
      </c>
      <c r="M17" s="68"/>
      <c r="N17" s="69"/>
      <c r="O17" s="69"/>
      <c r="P17" s="71"/>
      <c r="Q17" s="71"/>
      <c r="R17" s="68"/>
      <c r="S17" s="68"/>
      <c r="T17" s="68"/>
    </row>
    <row r="18" spans="1:20" ht="51">
      <c r="A18" s="151" t="s">
        <v>527</v>
      </c>
      <c r="B18" s="20" t="s">
        <v>268</v>
      </c>
      <c r="C18" s="20" t="s">
        <v>62</v>
      </c>
      <c r="D18" s="20" t="s">
        <v>64</v>
      </c>
      <c r="E18" s="97" t="s">
        <v>416</v>
      </c>
      <c r="F18" s="97"/>
      <c r="G18" s="187">
        <f>G19</f>
        <v>3718.1</v>
      </c>
      <c r="H18" s="187">
        <f>H19</f>
        <v>3376.6000000000004</v>
      </c>
      <c r="I18" s="187">
        <f t="shared" si="3"/>
        <v>341.49999999999955</v>
      </c>
      <c r="J18" s="189">
        <f t="shared" si="4"/>
        <v>90.815201312498331</v>
      </c>
      <c r="M18" s="68"/>
      <c r="N18" s="69"/>
      <c r="O18" s="69"/>
      <c r="P18" s="71"/>
      <c r="Q18" s="71"/>
      <c r="R18" s="68"/>
      <c r="S18" s="68"/>
      <c r="T18" s="68"/>
    </row>
    <row r="19" spans="1:20" ht="25.5">
      <c r="A19" s="16" t="s">
        <v>417</v>
      </c>
      <c r="B19" s="20" t="s">
        <v>268</v>
      </c>
      <c r="C19" s="20" t="s">
        <v>62</v>
      </c>
      <c r="D19" s="20" t="s">
        <v>64</v>
      </c>
      <c r="E19" s="97" t="s">
        <v>418</v>
      </c>
      <c r="F19" s="97"/>
      <c r="G19" s="187">
        <f>G20+G25+G28</f>
        <v>3718.1</v>
      </c>
      <c r="H19" s="187">
        <f>H20+H25+H28</f>
        <v>3376.6000000000004</v>
      </c>
      <c r="I19" s="187">
        <f t="shared" si="3"/>
        <v>341.49999999999955</v>
      </c>
      <c r="J19" s="189">
        <f t="shared" si="4"/>
        <v>90.815201312498331</v>
      </c>
      <c r="M19" s="68"/>
      <c r="N19" s="69"/>
      <c r="O19" s="69"/>
      <c r="P19" s="71"/>
      <c r="Q19" s="71"/>
      <c r="R19" s="68"/>
      <c r="S19" s="68"/>
      <c r="T19" s="68"/>
    </row>
    <row r="20" spans="1:20" ht="76.5">
      <c r="A20" s="16" t="s">
        <v>276</v>
      </c>
      <c r="B20" s="20" t="s">
        <v>268</v>
      </c>
      <c r="C20" s="20" t="s">
        <v>62</v>
      </c>
      <c r="D20" s="20" t="s">
        <v>64</v>
      </c>
      <c r="E20" s="97" t="s">
        <v>419</v>
      </c>
      <c r="F20" s="97"/>
      <c r="G20" s="187">
        <f>G21+G23</f>
        <v>2175.3000000000002</v>
      </c>
      <c r="H20" s="187">
        <f>H21+H23</f>
        <v>2105.8000000000002</v>
      </c>
      <c r="I20" s="187">
        <f t="shared" si="3"/>
        <v>69.5</v>
      </c>
      <c r="J20" s="189">
        <f t="shared" si="4"/>
        <v>96.805038385510045</v>
      </c>
      <c r="M20" s="68"/>
      <c r="N20" s="69"/>
      <c r="O20" s="69"/>
      <c r="P20" s="71"/>
      <c r="Q20" s="71"/>
      <c r="R20" s="68"/>
      <c r="S20" s="68"/>
      <c r="T20" s="68"/>
    </row>
    <row r="21" spans="1:20" ht="51">
      <c r="A21" s="16" t="s">
        <v>90</v>
      </c>
      <c r="B21" s="20" t="s">
        <v>268</v>
      </c>
      <c r="C21" s="20" t="s">
        <v>62</v>
      </c>
      <c r="D21" s="20" t="s">
        <v>64</v>
      </c>
      <c r="E21" s="97" t="s">
        <v>419</v>
      </c>
      <c r="F21" s="97" t="s">
        <v>91</v>
      </c>
      <c r="G21" s="187">
        <f>G22</f>
        <v>1090.2</v>
      </c>
      <c r="H21" s="187">
        <f>H22</f>
        <v>1090.2</v>
      </c>
      <c r="I21" s="187">
        <f t="shared" si="3"/>
        <v>0</v>
      </c>
      <c r="J21" s="189">
        <f t="shared" si="4"/>
        <v>100</v>
      </c>
      <c r="M21" s="68"/>
      <c r="N21" s="69"/>
      <c r="O21" s="69"/>
      <c r="P21" s="71"/>
      <c r="Q21" s="71"/>
      <c r="R21" s="68"/>
      <c r="S21" s="68"/>
      <c r="T21" s="68"/>
    </row>
    <row r="22" spans="1:20" ht="25.5">
      <c r="A22" s="16" t="s">
        <v>87</v>
      </c>
      <c r="B22" s="20" t="s">
        <v>268</v>
      </c>
      <c r="C22" s="20" t="s">
        <v>62</v>
      </c>
      <c r="D22" s="20" t="s">
        <v>64</v>
      </c>
      <c r="E22" s="97" t="s">
        <v>419</v>
      </c>
      <c r="F22" s="97" t="s">
        <v>88</v>
      </c>
      <c r="G22" s="187">
        <v>1090.2</v>
      </c>
      <c r="H22" s="187">
        <f>857.7+232.5</f>
        <v>1090.2</v>
      </c>
      <c r="I22" s="187">
        <f t="shared" si="3"/>
        <v>0</v>
      </c>
      <c r="J22" s="189">
        <f t="shared" si="4"/>
        <v>100</v>
      </c>
      <c r="M22" s="68"/>
      <c r="N22" s="69"/>
      <c r="O22" s="69"/>
      <c r="P22" s="71"/>
      <c r="Q22" s="71"/>
      <c r="R22" s="68"/>
      <c r="S22" s="68"/>
      <c r="T22" s="68"/>
    </row>
    <row r="23" spans="1:20" ht="25.5">
      <c r="A23" s="16" t="s">
        <v>331</v>
      </c>
      <c r="B23" s="20" t="s">
        <v>268</v>
      </c>
      <c r="C23" s="20" t="s">
        <v>62</v>
      </c>
      <c r="D23" s="20" t="s">
        <v>64</v>
      </c>
      <c r="E23" s="97" t="s">
        <v>419</v>
      </c>
      <c r="F23" s="97" t="s">
        <v>92</v>
      </c>
      <c r="G23" s="187">
        <f>G24</f>
        <v>1085.0999999999999</v>
      </c>
      <c r="H23" s="187">
        <f>H24</f>
        <v>1015.6</v>
      </c>
      <c r="I23" s="187">
        <f t="shared" si="3"/>
        <v>69.499999999999886</v>
      </c>
      <c r="J23" s="189">
        <f t="shared" si="4"/>
        <v>93.595060363100174</v>
      </c>
      <c r="M23" s="68"/>
      <c r="N23" s="69"/>
      <c r="O23" s="69"/>
      <c r="P23" s="71"/>
      <c r="Q23" s="71"/>
      <c r="R23" s="68"/>
      <c r="S23" s="68"/>
      <c r="T23" s="68"/>
    </row>
    <row r="24" spans="1:20" ht="25.5">
      <c r="A24" s="16" t="s">
        <v>556</v>
      </c>
      <c r="B24" s="20" t="s">
        <v>268</v>
      </c>
      <c r="C24" s="20" t="s">
        <v>62</v>
      </c>
      <c r="D24" s="20" t="s">
        <v>64</v>
      </c>
      <c r="E24" s="97" t="s">
        <v>419</v>
      </c>
      <c r="F24" s="97" t="s">
        <v>89</v>
      </c>
      <c r="G24" s="187">
        <f>1015.6+69.5</f>
        <v>1085.0999999999999</v>
      </c>
      <c r="H24" s="187">
        <v>1015.6</v>
      </c>
      <c r="I24" s="187">
        <f t="shared" si="3"/>
        <v>69.499999999999886</v>
      </c>
      <c r="J24" s="189">
        <f t="shared" si="4"/>
        <v>93.595060363100174</v>
      </c>
      <c r="M24" s="68"/>
      <c r="N24" s="69"/>
      <c r="O24" s="69"/>
      <c r="P24" s="71"/>
      <c r="Q24" s="71"/>
      <c r="R24" s="68"/>
      <c r="S24" s="68"/>
      <c r="T24" s="68"/>
    </row>
    <row r="25" spans="1:20" ht="21" customHeight="1">
      <c r="A25" s="16" t="s">
        <v>175</v>
      </c>
      <c r="B25" s="20" t="s">
        <v>268</v>
      </c>
      <c r="C25" s="20" t="s">
        <v>62</v>
      </c>
      <c r="D25" s="20" t="s">
        <v>64</v>
      </c>
      <c r="E25" s="97" t="s">
        <v>420</v>
      </c>
      <c r="F25" s="97"/>
      <c r="G25" s="187">
        <f>G26</f>
        <v>1494.6</v>
      </c>
      <c r="H25" s="187">
        <f>H26</f>
        <v>1228.9000000000001</v>
      </c>
      <c r="I25" s="187">
        <f t="shared" si="3"/>
        <v>265.69999999999982</v>
      </c>
      <c r="J25" s="189">
        <f t="shared" si="4"/>
        <v>82.222668272447493</v>
      </c>
      <c r="M25" s="68"/>
      <c r="N25" s="69"/>
      <c r="O25" s="69"/>
      <c r="P25" s="71"/>
      <c r="Q25" s="71"/>
      <c r="R25" s="68"/>
      <c r="S25" s="68"/>
      <c r="T25" s="68"/>
    </row>
    <row r="26" spans="1:20" ht="51">
      <c r="A26" s="16" t="s">
        <v>90</v>
      </c>
      <c r="B26" s="20" t="s">
        <v>268</v>
      </c>
      <c r="C26" s="20" t="s">
        <v>62</v>
      </c>
      <c r="D26" s="20" t="s">
        <v>64</v>
      </c>
      <c r="E26" s="97" t="s">
        <v>420</v>
      </c>
      <c r="F26" s="97" t="s">
        <v>91</v>
      </c>
      <c r="G26" s="187">
        <f>G27</f>
        <v>1494.6</v>
      </c>
      <c r="H26" s="187">
        <f>H27</f>
        <v>1228.9000000000001</v>
      </c>
      <c r="I26" s="187">
        <f t="shared" si="3"/>
        <v>265.69999999999982</v>
      </c>
      <c r="J26" s="189">
        <f t="shared" si="4"/>
        <v>82.222668272447493</v>
      </c>
      <c r="M26" s="68"/>
      <c r="N26" s="69"/>
      <c r="O26" s="69"/>
      <c r="P26" s="71"/>
      <c r="Q26" s="71"/>
      <c r="R26" s="68"/>
      <c r="S26" s="68"/>
      <c r="T26" s="68"/>
    </row>
    <row r="27" spans="1:20" ht="16.149999999999999" customHeight="1">
      <c r="A27" s="16" t="s">
        <v>87</v>
      </c>
      <c r="B27" s="20" t="s">
        <v>268</v>
      </c>
      <c r="C27" s="20" t="s">
        <v>62</v>
      </c>
      <c r="D27" s="20" t="s">
        <v>64</v>
      </c>
      <c r="E27" s="97" t="s">
        <v>420</v>
      </c>
      <c r="F27" s="97" t="s">
        <v>88</v>
      </c>
      <c r="G27" s="187">
        <f>1564.6-22-48</f>
        <v>1494.6</v>
      </c>
      <c r="H27" s="187">
        <f>921.2+307.7</f>
        <v>1228.9000000000001</v>
      </c>
      <c r="I27" s="187">
        <f t="shared" si="3"/>
        <v>265.69999999999982</v>
      </c>
      <c r="J27" s="189">
        <f t="shared" si="4"/>
        <v>82.222668272447493</v>
      </c>
      <c r="M27" s="68"/>
      <c r="N27" s="69"/>
      <c r="O27" s="69"/>
      <c r="P27" s="71"/>
      <c r="Q27" s="71"/>
      <c r="R27" s="68"/>
      <c r="S27" s="68"/>
      <c r="T27" s="68"/>
    </row>
    <row r="28" spans="1:20">
      <c r="A28" s="16" t="s">
        <v>176</v>
      </c>
      <c r="B28" s="20" t="s">
        <v>268</v>
      </c>
      <c r="C28" s="20" t="s">
        <v>62</v>
      </c>
      <c r="D28" s="20" t="s">
        <v>64</v>
      </c>
      <c r="E28" s="97" t="s">
        <v>421</v>
      </c>
      <c r="F28" s="97"/>
      <c r="G28" s="187">
        <f>G29</f>
        <v>48.2</v>
      </c>
      <c r="H28" s="187">
        <f>H29</f>
        <v>41.9</v>
      </c>
      <c r="I28" s="187">
        <f t="shared" si="3"/>
        <v>6.3000000000000043</v>
      </c>
      <c r="J28" s="189">
        <f t="shared" si="4"/>
        <v>86.92946058091286</v>
      </c>
      <c r="M28" s="68"/>
      <c r="N28" s="69"/>
      <c r="O28" s="69"/>
      <c r="P28" s="71"/>
      <c r="Q28" s="71"/>
      <c r="R28" s="68"/>
      <c r="S28" s="68"/>
      <c r="T28" s="68"/>
    </row>
    <row r="29" spans="1:20" ht="25.5">
      <c r="A29" s="16" t="s">
        <v>331</v>
      </c>
      <c r="B29" s="20" t="s">
        <v>268</v>
      </c>
      <c r="C29" s="20" t="s">
        <v>62</v>
      </c>
      <c r="D29" s="20" t="s">
        <v>64</v>
      </c>
      <c r="E29" s="97" t="s">
        <v>421</v>
      </c>
      <c r="F29" s="97" t="s">
        <v>92</v>
      </c>
      <c r="G29" s="187">
        <f>G30</f>
        <v>48.2</v>
      </c>
      <c r="H29" s="187">
        <f>H30</f>
        <v>41.9</v>
      </c>
      <c r="I29" s="187">
        <f t="shared" si="3"/>
        <v>6.3000000000000043</v>
      </c>
      <c r="J29" s="189">
        <f t="shared" si="4"/>
        <v>86.92946058091286</v>
      </c>
      <c r="M29" s="68"/>
      <c r="N29" s="69"/>
      <c r="O29" s="69"/>
      <c r="P29" s="71"/>
      <c r="Q29" s="71"/>
      <c r="R29" s="68"/>
      <c r="S29" s="68"/>
      <c r="T29" s="68"/>
    </row>
    <row r="30" spans="1:20" ht="25.5">
      <c r="A30" s="16" t="s">
        <v>556</v>
      </c>
      <c r="B30" s="20" t="s">
        <v>268</v>
      </c>
      <c r="C30" s="20" t="s">
        <v>62</v>
      </c>
      <c r="D30" s="20" t="s">
        <v>64</v>
      </c>
      <c r="E30" s="97" t="s">
        <v>421</v>
      </c>
      <c r="F30" s="97" t="s">
        <v>89</v>
      </c>
      <c r="G30" s="187">
        <f>88-39.8</f>
        <v>48.2</v>
      </c>
      <c r="H30" s="187">
        <v>41.9</v>
      </c>
      <c r="I30" s="187">
        <f t="shared" si="3"/>
        <v>6.3000000000000043</v>
      </c>
      <c r="J30" s="189">
        <f t="shared" si="4"/>
        <v>86.92946058091286</v>
      </c>
      <c r="M30" s="68"/>
      <c r="N30" s="69"/>
      <c r="O30" s="69"/>
      <c r="P30" s="71"/>
      <c r="Q30" s="71"/>
      <c r="R30" s="68"/>
      <c r="S30" s="68"/>
      <c r="T30" s="68"/>
    </row>
    <row r="31" spans="1:20" ht="38.25">
      <c r="A31" s="16" t="s">
        <v>275</v>
      </c>
      <c r="B31" s="20" t="s">
        <v>268</v>
      </c>
      <c r="C31" s="20" t="s">
        <v>62</v>
      </c>
      <c r="D31" s="20" t="s">
        <v>64</v>
      </c>
      <c r="E31" s="97" t="s">
        <v>173</v>
      </c>
      <c r="F31" s="97"/>
      <c r="G31" s="187">
        <f>G32</f>
        <v>87130.099999999991</v>
      </c>
      <c r="H31" s="187">
        <f>H32</f>
        <v>86465.3</v>
      </c>
      <c r="I31" s="187">
        <f t="shared" si="3"/>
        <v>664.79999999998836</v>
      </c>
      <c r="J31" s="189">
        <f t="shared" si="4"/>
        <v>99.237003056349081</v>
      </c>
      <c r="M31" s="68"/>
      <c r="N31" s="69"/>
      <c r="O31" s="69"/>
      <c r="P31" s="71"/>
      <c r="Q31" s="71"/>
      <c r="R31" s="68"/>
      <c r="S31" s="68"/>
      <c r="T31" s="68"/>
    </row>
    <row r="32" spans="1:20">
      <c r="A32" s="16" t="s">
        <v>46</v>
      </c>
      <c r="B32" s="20" t="s">
        <v>268</v>
      </c>
      <c r="C32" s="20" t="s">
        <v>62</v>
      </c>
      <c r="D32" s="20" t="s">
        <v>64</v>
      </c>
      <c r="E32" s="97" t="s">
        <v>179</v>
      </c>
      <c r="F32" s="97"/>
      <c r="G32" s="187">
        <f>G33+G39+G45+G48+G36</f>
        <v>87130.099999999991</v>
      </c>
      <c r="H32" s="187">
        <f>H33+H39+H45+H48+H36</f>
        <v>86465.3</v>
      </c>
      <c r="I32" s="187">
        <f t="shared" si="3"/>
        <v>664.79999999998836</v>
      </c>
      <c r="J32" s="189">
        <f t="shared" si="4"/>
        <v>99.237003056349081</v>
      </c>
      <c r="M32" s="68"/>
      <c r="N32" s="68"/>
      <c r="O32" s="68"/>
      <c r="P32" s="68"/>
      <c r="Q32" s="68"/>
      <c r="R32" s="68"/>
      <c r="S32" s="68"/>
      <c r="T32" s="68"/>
    </row>
    <row r="33" spans="1:20" ht="25.5">
      <c r="A33" s="16" t="s">
        <v>175</v>
      </c>
      <c r="B33" s="20" t="s">
        <v>268</v>
      </c>
      <c r="C33" s="20" t="s">
        <v>62</v>
      </c>
      <c r="D33" s="20" t="s">
        <v>64</v>
      </c>
      <c r="E33" s="97" t="s">
        <v>180</v>
      </c>
      <c r="F33" s="97"/>
      <c r="G33" s="187">
        <f>G34</f>
        <v>78208.7</v>
      </c>
      <c r="H33" s="187">
        <f>H34</f>
        <v>77718.399999999994</v>
      </c>
      <c r="I33" s="187">
        <f t="shared" si="3"/>
        <v>490.30000000000291</v>
      </c>
      <c r="J33" s="189">
        <f t="shared" si="4"/>
        <v>99.373087648816565</v>
      </c>
      <c r="M33" s="68"/>
      <c r="N33" s="68"/>
      <c r="O33" s="68"/>
      <c r="P33" s="68"/>
      <c r="Q33" s="68"/>
      <c r="R33" s="68"/>
      <c r="S33" s="68"/>
      <c r="T33" s="68"/>
    </row>
    <row r="34" spans="1:20" ht="51">
      <c r="A34" s="16" t="s">
        <v>90</v>
      </c>
      <c r="B34" s="20" t="s">
        <v>268</v>
      </c>
      <c r="C34" s="20" t="s">
        <v>62</v>
      </c>
      <c r="D34" s="20" t="s">
        <v>64</v>
      </c>
      <c r="E34" s="97" t="s">
        <v>180</v>
      </c>
      <c r="F34" s="97" t="s">
        <v>91</v>
      </c>
      <c r="G34" s="187">
        <f>G35</f>
        <v>78208.7</v>
      </c>
      <c r="H34" s="187">
        <f>H35</f>
        <v>77718.399999999994</v>
      </c>
      <c r="I34" s="187">
        <f t="shared" si="3"/>
        <v>490.30000000000291</v>
      </c>
      <c r="J34" s="189">
        <f t="shared" si="4"/>
        <v>99.373087648816565</v>
      </c>
      <c r="M34" s="68"/>
      <c r="N34" s="68"/>
      <c r="O34" s="68"/>
      <c r="P34" s="68"/>
      <c r="Q34" s="68"/>
      <c r="R34" s="68"/>
      <c r="S34" s="68"/>
      <c r="T34" s="68"/>
    </row>
    <row r="35" spans="1:20" ht="25.5">
      <c r="A35" s="16" t="s">
        <v>87</v>
      </c>
      <c r="B35" s="20" t="s">
        <v>268</v>
      </c>
      <c r="C35" s="20" t="s">
        <v>62</v>
      </c>
      <c r="D35" s="20" t="s">
        <v>64</v>
      </c>
      <c r="E35" s="97" t="s">
        <v>180</v>
      </c>
      <c r="F35" s="97" t="s">
        <v>88</v>
      </c>
      <c r="G35" s="187">
        <f>79557.3-1348.6</f>
        <v>78208.7</v>
      </c>
      <c r="H35" s="187">
        <f>60790.4+497.1+16430.9</f>
        <v>77718.399999999994</v>
      </c>
      <c r="I35" s="187">
        <f t="shared" si="3"/>
        <v>490.30000000000291</v>
      </c>
      <c r="J35" s="189">
        <f t="shared" si="4"/>
        <v>99.373087648816565</v>
      </c>
      <c r="M35" s="68"/>
      <c r="N35" s="68"/>
      <c r="O35" s="68"/>
      <c r="P35" s="68"/>
      <c r="Q35" s="68"/>
      <c r="R35" s="68"/>
      <c r="S35" s="68"/>
      <c r="T35" s="68"/>
    </row>
    <row r="36" spans="1:20" ht="38.25">
      <c r="A36" s="161" t="s">
        <v>687</v>
      </c>
      <c r="B36" s="20" t="s">
        <v>268</v>
      </c>
      <c r="C36" s="20" t="s">
        <v>62</v>
      </c>
      <c r="D36" s="20" t="s">
        <v>64</v>
      </c>
      <c r="E36" s="97" t="s">
        <v>688</v>
      </c>
      <c r="F36" s="97"/>
      <c r="G36" s="187">
        <f>G37</f>
        <v>1393</v>
      </c>
      <c r="H36" s="187">
        <f>H37</f>
        <v>1393</v>
      </c>
      <c r="I36" s="187">
        <f t="shared" si="3"/>
        <v>0</v>
      </c>
      <c r="J36" s="189">
        <f t="shared" si="4"/>
        <v>100</v>
      </c>
      <c r="M36" s="68"/>
      <c r="N36" s="68"/>
      <c r="O36" s="68"/>
      <c r="P36" s="68"/>
      <c r="Q36" s="68"/>
      <c r="R36" s="68"/>
      <c r="S36" s="68"/>
      <c r="T36" s="68"/>
    </row>
    <row r="37" spans="1:20" ht="51">
      <c r="A37" s="16" t="s">
        <v>90</v>
      </c>
      <c r="B37" s="20" t="s">
        <v>268</v>
      </c>
      <c r="C37" s="20" t="s">
        <v>62</v>
      </c>
      <c r="D37" s="20" t="s">
        <v>64</v>
      </c>
      <c r="E37" s="97" t="s">
        <v>688</v>
      </c>
      <c r="F37" s="97" t="s">
        <v>91</v>
      </c>
      <c r="G37" s="187">
        <f>G38</f>
        <v>1393</v>
      </c>
      <c r="H37" s="187">
        <f>H38</f>
        <v>1393</v>
      </c>
      <c r="I37" s="187">
        <f t="shared" si="3"/>
        <v>0</v>
      </c>
      <c r="J37" s="189">
        <f t="shared" si="4"/>
        <v>100</v>
      </c>
      <c r="M37" s="68"/>
      <c r="N37" s="68"/>
      <c r="O37" s="68"/>
      <c r="P37" s="68"/>
      <c r="Q37" s="68"/>
      <c r="R37" s="68"/>
      <c r="S37" s="68"/>
      <c r="T37" s="68"/>
    </row>
    <row r="38" spans="1:20" ht="25.5">
      <c r="A38" s="16" t="s">
        <v>87</v>
      </c>
      <c r="B38" s="20" t="s">
        <v>268</v>
      </c>
      <c r="C38" s="20" t="s">
        <v>62</v>
      </c>
      <c r="D38" s="20" t="s">
        <v>64</v>
      </c>
      <c r="E38" s="97" t="s">
        <v>688</v>
      </c>
      <c r="F38" s="97" t="s">
        <v>88</v>
      </c>
      <c r="G38" s="187">
        <f>1130+263</f>
        <v>1393</v>
      </c>
      <c r="H38" s="187">
        <f>1220.1+172.9</f>
        <v>1393</v>
      </c>
      <c r="I38" s="187">
        <f t="shared" si="3"/>
        <v>0</v>
      </c>
      <c r="J38" s="189">
        <f t="shared" si="4"/>
        <v>100</v>
      </c>
      <c r="M38" s="68"/>
      <c r="N38" s="68"/>
      <c r="O38" s="68"/>
      <c r="P38" s="68"/>
      <c r="Q38" s="68"/>
      <c r="R38" s="68"/>
      <c r="S38" s="68"/>
      <c r="T38" s="68"/>
    </row>
    <row r="39" spans="1:20">
      <c r="A39" s="16" t="s">
        <v>176</v>
      </c>
      <c r="B39" s="20" t="s">
        <v>268</v>
      </c>
      <c r="C39" s="20" t="s">
        <v>62</v>
      </c>
      <c r="D39" s="20" t="s">
        <v>64</v>
      </c>
      <c r="E39" s="97" t="s">
        <v>181</v>
      </c>
      <c r="F39" s="97"/>
      <c r="G39" s="187">
        <f>G40+G42</f>
        <v>5563.4</v>
      </c>
      <c r="H39" s="187">
        <f>H40+H42</f>
        <v>5458.6</v>
      </c>
      <c r="I39" s="187">
        <f t="shared" si="3"/>
        <v>104.79999999999927</v>
      </c>
      <c r="J39" s="189">
        <f t="shared" si="4"/>
        <v>98.116259841104366</v>
      </c>
      <c r="M39" s="68"/>
      <c r="N39" s="68"/>
      <c r="O39" s="68"/>
      <c r="P39" s="68"/>
      <c r="Q39" s="68"/>
      <c r="R39" s="68"/>
      <c r="S39" s="68"/>
      <c r="T39" s="68"/>
    </row>
    <row r="40" spans="1:20" ht="25.5">
      <c r="A40" s="16" t="s">
        <v>331</v>
      </c>
      <c r="B40" s="20" t="s">
        <v>268</v>
      </c>
      <c r="C40" s="20" t="s">
        <v>62</v>
      </c>
      <c r="D40" s="20" t="s">
        <v>64</v>
      </c>
      <c r="E40" s="97" t="s">
        <v>181</v>
      </c>
      <c r="F40" s="97" t="s">
        <v>92</v>
      </c>
      <c r="G40" s="187">
        <f>G41</f>
        <v>3683.2</v>
      </c>
      <c r="H40" s="187">
        <f>H41</f>
        <v>3588.5</v>
      </c>
      <c r="I40" s="187">
        <f t="shared" si="3"/>
        <v>94.699999999999818</v>
      </c>
      <c r="J40" s="189">
        <f t="shared" si="4"/>
        <v>97.428866203301482</v>
      </c>
      <c r="M40" s="68"/>
      <c r="N40" s="68"/>
      <c r="O40" s="68"/>
      <c r="P40" s="68"/>
      <c r="Q40" s="68"/>
      <c r="R40" s="68"/>
      <c r="S40" s="68"/>
      <c r="T40" s="68"/>
    </row>
    <row r="41" spans="1:20" ht="25.5">
      <c r="A41" s="16" t="s">
        <v>556</v>
      </c>
      <c r="B41" s="20" t="s">
        <v>268</v>
      </c>
      <c r="C41" s="20" t="s">
        <v>62</v>
      </c>
      <c r="D41" s="20" t="s">
        <v>64</v>
      </c>
      <c r="E41" s="97" t="s">
        <v>181</v>
      </c>
      <c r="F41" s="97" t="s">
        <v>89</v>
      </c>
      <c r="G41" s="187">
        <f>3642.6+40.6</f>
        <v>3683.2</v>
      </c>
      <c r="H41" s="187">
        <v>3588.5</v>
      </c>
      <c r="I41" s="187">
        <f t="shared" si="3"/>
        <v>94.699999999999818</v>
      </c>
      <c r="J41" s="189">
        <f t="shared" si="4"/>
        <v>97.428866203301482</v>
      </c>
      <c r="M41" s="68"/>
      <c r="N41" s="68"/>
      <c r="O41" s="68"/>
      <c r="P41" s="68"/>
      <c r="Q41" s="68"/>
      <c r="R41" s="68"/>
      <c r="S41" s="68"/>
      <c r="T41" s="68"/>
    </row>
    <row r="42" spans="1:20">
      <c r="A42" s="16" t="s">
        <v>108</v>
      </c>
      <c r="B42" s="20" t="s">
        <v>268</v>
      </c>
      <c r="C42" s="20" t="s">
        <v>62</v>
      </c>
      <c r="D42" s="20" t="s">
        <v>64</v>
      </c>
      <c r="E42" s="97" t="s">
        <v>181</v>
      </c>
      <c r="F42" s="97" t="s">
        <v>109</v>
      </c>
      <c r="G42" s="187">
        <f>G44+G43</f>
        <v>1880.1999999999998</v>
      </c>
      <c r="H42" s="187">
        <f>H44+H43</f>
        <v>1870.1000000000001</v>
      </c>
      <c r="I42" s="187">
        <f t="shared" si="3"/>
        <v>10.099999999999682</v>
      </c>
      <c r="J42" s="189">
        <f t="shared" si="4"/>
        <v>99.462823103925132</v>
      </c>
      <c r="M42" s="68"/>
      <c r="N42" s="68"/>
      <c r="O42" s="68"/>
      <c r="P42" s="68"/>
      <c r="Q42" s="68"/>
      <c r="R42" s="68"/>
      <c r="S42" s="68"/>
      <c r="T42" s="68"/>
    </row>
    <row r="43" spans="1:20">
      <c r="A43" s="28" t="s">
        <v>597</v>
      </c>
      <c r="B43" s="20" t="s">
        <v>268</v>
      </c>
      <c r="C43" s="20" t="s">
        <v>62</v>
      </c>
      <c r="D43" s="20" t="s">
        <v>64</v>
      </c>
      <c r="E43" s="97" t="s">
        <v>181</v>
      </c>
      <c r="F43" s="121">
        <v>830</v>
      </c>
      <c r="G43" s="187">
        <f>981.6+289.7</f>
        <v>1271.3</v>
      </c>
      <c r="H43" s="187">
        <v>1271.2</v>
      </c>
      <c r="I43" s="187">
        <f t="shared" si="3"/>
        <v>9.9999999999909051E-2</v>
      </c>
      <c r="J43" s="189">
        <f t="shared" si="4"/>
        <v>99.99213403602613</v>
      </c>
      <c r="M43" s="68"/>
      <c r="N43" s="68"/>
      <c r="O43" s="68"/>
      <c r="P43" s="68"/>
      <c r="Q43" s="68"/>
      <c r="R43" s="68"/>
      <c r="S43" s="68"/>
      <c r="T43" s="68"/>
    </row>
    <row r="44" spans="1:20">
      <c r="A44" s="16" t="s">
        <v>111</v>
      </c>
      <c r="B44" s="20" t="s">
        <v>268</v>
      </c>
      <c r="C44" s="20" t="s">
        <v>62</v>
      </c>
      <c r="D44" s="20" t="s">
        <v>64</v>
      </c>
      <c r="E44" s="97" t="s">
        <v>181</v>
      </c>
      <c r="F44" s="97" t="s">
        <v>112</v>
      </c>
      <c r="G44" s="187">
        <f>588.9+20</f>
        <v>608.9</v>
      </c>
      <c r="H44" s="187">
        <f>520.6+2.6+75.7</f>
        <v>598.90000000000009</v>
      </c>
      <c r="I44" s="187">
        <f t="shared" si="3"/>
        <v>9.9999999999998863</v>
      </c>
      <c r="J44" s="189">
        <f t="shared" si="4"/>
        <v>98.357694202660554</v>
      </c>
      <c r="M44" s="68"/>
      <c r="N44" s="68"/>
      <c r="O44" s="68"/>
      <c r="P44" s="68"/>
      <c r="Q44" s="68"/>
      <c r="R44" s="68"/>
      <c r="S44" s="68"/>
      <c r="T44" s="68"/>
    </row>
    <row r="45" spans="1:20" ht="63.75">
      <c r="A45" s="16" t="s">
        <v>202</v>
      </c>
      <c r="B45" s="20" t="s">
        <v>268</v>
      </c>
      <c r="C45" s="20" t="s">
        <v>62</v>
      </c>
      <c r="D45" s="20" t="s">
        <v>64</v>
      </c>
      <c r="E45" s="97" t="s">
        <v>414</v>
      </c>
      <c r="F45" s="97"/>
      <c r="G45" s="187">
        <f>G46</f>
        <v>1850</v>
      </c>
      <c r="H45" s="187">
        <f>H46</f>
        <v>1845.7</v>
      </c>
      <c r="I45" s="187">
        <f t="shared" si="3"/>
        <v>4.2999999999999545</v>
      </c>
      <c r="J45" s="189">
        <f t="shared" si="4"/>
        <v>99.767567567567568</v>
      </c>
      <c r="M45" s="68"/>
      <c r="N45" s="68"/>
      <c r="O45" s="68"/>
      <c r="P45" s="68"/>
      <c r="Q45" s="68"/>
      <c r="R45" s="68"/>
      <c r="S45" s="68"/>
      <c r="T45" s="68"/>
    </row>
    <row r="46" spans="1:20" ht="51">
      <c r="A46" s="16" t="s">
        <v>90</v>
      </c>
      <c r="B46" s="20" t="s">
        <v>268</v>
      </c>
      <c r="C46" s="20" t="s">
        <v>62</v>
      </c>
      <c r="D46" s="20" t="s">
        <v>64</v>
      </c>
      <c r="E46" s="97" t="s">
        <v>414</v>
      </c>
      <c r="F46" s="97" t="s">
        <v>91</v>
      </c>
      <c r="G46" s="187">
        <f>G47</f>
        <v>1850</v>
      </c>
      <c r="H46" s="187">
        <f>H47</f>
        <v>1845.7</v>
      </c>
      <c r="I46" s="187">
        <f t="shared" si="3"/>
        <v>4.2999999999999545</v>
      </c>
      <c r="J46" s="189">
        <f t="shared" si="4"/>
        <v>99.767567567567568</v>
      </c>
      <c r="M46" s="68"/>
      <c r="N46" s="68"/>
      <c r="O46" s="68"/>
      <c r="P46" s="68"/>
      <c r="Q46" s="68"/>
      <c r="R46" s="68"/>
      <c r="S46" s="68"/>
      <c r="T46" s="68"/>
    </row>
    <row r="47" spans="1:20" ht="25.5">
      <c r="A47" s="16" t="s">
        <v>87</v>
      </c>
      <c r="B47" s="20" t="s">
        <v>268</v>
      </c>
      <c r="C47" s="20" t="s">
        <v>62</v>
      </c>
      <c r="D47" s="20" t="s">
        <v>64</v>
      </c>
      <c r="E47" s="97" t="s">
        <v>414</v>
      </c>
      <c r="F47" s="97" t="s">
        <v>88</v>
      </c>
      <c r="G47" s="187">
        <v>1850</v>
      </c>
      <c r="H47" s="187">
        <v>1845.7</v>
      </c>
      <c r="I47" s="187">
        <f t="shared" si="3"/>
        <v>4.2999999999999545</v>
      </c>
      <c r="J47" s="189">
        <f t="shared" si="4"/>
        <v>99.767567567567568</v>
      </c>
      <c r="M47" s="68"/>
      <c r="N47" s="68"/>
      <c r="O47" s="68"/>
      <c r="P47" s="68"/>
      <c r="Q47" s="68"/>
      <c r="R47" s="68"/>
      <c r="S47" s="68"/>
      <c r="T47" s="68"/>
    </row>
    <row r="48" spans="1:20">
      <c r="A48" s="16" t="s">
        <v>174</v>
      </c>
      <c r="B48" s="20" t="s">
        <v>268</v>
      </c>
      <c r="C48" s="20" t="s">
        <v>62</v>
      </c>
      <c r="D48" s="20" t="s">
        <v>64</v>
      </c>
      <c r="E48" s="97" t="s">
        <v>415</v>
      </c>
      <c r="F48" s="97"/>
      <c r="G48" s="187">
        <f>G49</f>
        <v>115</v>
      </c>
      <c r="H48" s="187">
        <f>H49</f>
        <v>49.6</v>
      </c>
      <c r="I48" s="187">
        <f t="shared" si="3"/>
        <v>65.400000000000006</v>
      </c>
      <c r="J48" s="189">
        <f t="shared" si="4"/>
        <v>43.130434782608695</v>
      </c>
      <c r="M48" s="68"/>
      <c r="N48" s="68"/>
      <c r="O48" s="68"/>
      <c r="P48" s="68"/>
      <c r="Q48" s="68"/>
      <c r="R48" s="68"/>
      <c r="S48" s="68"/>
      <c r="T48" s="68"/>
    </row>
    <row r="49" spans="1:20" ht="51">
      <c r="A49" s="16" t="s">
        <v>90</v>
      </c>
      <c r="B49" s="20" t="s">
        <v>268</v>
      </c>
      <c r="C49" s="20" t="s">
        <v>62</v>
      </c>
      <c r="D49" s="20" t="s">
        <v>64</v>
      </c>
      <c r="E49" s="97" t="s">
        <v>415</v>
      </c>
      <c r="F49" s="97" t="s">
        <v>91</v>
      </c>
      <c r="G49" s="187">
        <f>G50</f>
        <v>115</v>
      </c>
      <c r="H49" s="187">
        <f>H50</f>
        <v>49.6</v>
      </c>
      <c r="I49" s="187">
        <f t="shared" si="3"/>
        <v>65.400000000000006</v>
      </c>
      <c r="J49" s="189">
        <f t="shared" si="4"/>
        <v>43.130434782608695</v>
      </c>
      <c r="M49" s="68"/>
      <c r="N49" s="68"/>
      <c r="O49" s="68"/>
      <c r="P49" s="68"/>
      <c r="Q49" s="68"/>
      <c r="R49" s="68"/>
      <c r="S49" s="68"/>
      <c r="T49" s="68"/>
    </row>
    <row r="50" spans="1:20" ht="25.5">
      <c r="A50" s="16" t="s">
        <v>87</v>
      </c>
      <c r="B50" s="20" t="s">
        <v>268</v>
      </c>
      <c r="C50" s="20" t="s">
        <v>62</v>
      </c>
      <c r="D50" s="20" t="s">
        <v>64</v>
      </c>
      <c r="E50" s="97" t="s">
        <v>415</v>
      </c>
      <c r="F50" s="97" t="s">
        <v>88</v>
      </c>
      <c r="G50" s="187">
        <v>115</v>
      </c>
      <c r="H50" s="187">
        <v>49.6</v>
      </c>
      <c r="I50" s="187">
        <f t="shared" si="3"/>
        <v>65.400000000000006</v>
      </c>
      <c r="J50" s="189">
        <f t="shared" si="4"/>
        <v>43.130434782608695</v>
      </c>
      <c r="M50" s="68"/>
      <c r="N50" s="68"/>
      <c r="O50" s="68"/>
      <c r="P50" s="68"/>
      <c r="Q50" s="68"/>
      <c r="R50" s="68"/>
      <c r="S50" s="68"/>
      <c r="T50" s="68"/>
    </row>
    <row r="51" spans="1:20">
      <c r="A51" s="15" t="s">
        <v>59</v>
      </c>
      <c r="B51" s="31" t="s">
        <v>268</v>
      </c>
      <c r="C51" s="31" t="s">
        <v>62</v>
      </c>
      <c r="D51" s="31" t="s">
        <v>83</v>
      </c>
      <c r="E51" s="100"/>
      <c r="F51" s="100"/>
      <c r="G51" s="185">
        <f>G62+G52+G56</f>
        <v>1696.1</v>
      </c>
      <c r="H51" s="185">
        <f>H62+H52+H56</f>
        <v>1212.8999999999999</v>
      </c>
      <c r="I51" s="187">
        <f t="shared" si="3"/>
        <v>483.20000000000005</v>
      </c>
      <c r="J51" s="189">
        <f t="shared" si="4"/>
        <v>71.51111373150168</v>
      </c>
      <c r="M51" s="68"/>
      <c r="N51" s="68"/>
      <c r="O51" s="68"/>
      <c r="P51" s="68"/>
      <c r="Q51" s="68"/>
      <c r="R51" s="68"/>
      <c r="S51" s="68"/>
      <c r="T51" s="68"/>
    </row>
    <row r="52" spans="1:20" ht="25.5">
      <c r="A52" s="16" t="s">
        <v>422</v>
      </c>
      <c r="B52" s="20" t="s">
        <v>268</v>
      </c>
      <c r="C52" s="20" t="s">
        <v>62</v>
      </c>
      <c r="D52" s="20" t="s">
        <v>83</v>
      </c>
      <c r="E52" s="97" t="s">
        <v>423</v>
      </c>
      <c r="F52" s="97"/>
      <c r="G52" s="187">
        <f t="shared" ref="G52:H54" si="5">G53</f>
        <v>695.59999999999991</v>
      </c>
      <c r="H52" s="187">
        <f t="shared" si="5"/>
        <v>695.59999999999991</v>
      </c>
      <c r="I52" s="187">
        <f t="shared" si="3"/>
        <v>0</v>
      </c>
      <c r="J52" s="189">
        <f t="shared" si="4"/>
        <v>100</v>
      </c>
      <c r="M52" s="68"/>
      <c r="N52" s="68"/>
      <c r="O52" s="68"/>
      <c r="P52" s="68"/>
      <c r="Q52" s="68"/>
      <c r="R52" s="68"/>
      <c r="S52" s="68"/>
      <c r="T52" s="68"/>
    </row>
    <row r="53" spans="1:20" ht="25.5">
      <c r="A53" s="16" t="s">
        <v>424</v>
      </c>
      <c r="B53" s="20" t="s">
        <v>268</v>
      </c>
      <c r="C53" s="20" t="s">
        <v>62</v>
      </c>
      <c r="D53" s="20" t="s">
        <v>83</v>
      </c>
      <c r="E53" s="97" t="s">
        <v>425</v>
      </c>
      <c r="F53" s="97"/>
      <c r="G53" s="187">
        <f t="shared" si="5"/>
        <v>695.59999999999991</v>
      </c>
      <c r="H53" s="187">
        <f t="shared" si="5"/>
        <v>695.59999999999991</v>
      </c>
      <c r="I53" s="187">
        <f t="shared" si="3"/>
        <v>0</v>
      </c>
      <c r="J53" s="189">
        <f t="shared" si="4"/>
        <v>100</v>
      </c>
      <c r="M53" s="68"/>
      <c r="N53" s="68"/>
      <c r="O53" s="68"/>
      <c r="P53" s="68"/>
      <c r="Q53" s="68"/>
      <c r="R53" s="68"/>
      <c r="S53" s="68"/>
      <c r="T53" s="68"/>
    </row>
    <row r="54" spans="1:20" ht="51">
      <c r="A54" s="16" t="s">
        <v>90</v>
      </c>
      <c r="B54" s="20" t="s">
        <v>268</v>
      </c>
      <c r="C54" s="20" t="s">
        <v>62</v>
      </c>
      <c r="D54" s="20" t="s">
        <v>83</v>
      </c>
      <c r="E54" s="97" t="s">
        <v>425</v>
      </c>
      <c r="F54" s="97" t="s">
        <v>91</v>
      </c>
      <c r="G54" s="187">
        <f t="shared" si="5"/>
        <v>695.59999999999991</v>
      </c>
      <c r="H54" s="187">
        <f t="shared" si="5"/>
        <v>695.59999999999991</v>
      </c>
      <c r="I54" s="187">
        <f t="shared" si="3"/>
        <v>0</v>
      </c>
      <c r="J54" s="189">
        <f t="shared" si="4"/>
        <v>100</v>
      </c>
      <c r="M54" s="68"/>
      <c r="N54" s="68"/>
      <c r="O54" s="68"/>
      <c r="P54" s="68"/>
      <c r="Q54" s="68"/>
      <c r="R54" s="68"/>
      <c r="S54" s="68"/>
      <c r="T54" s="68"/>
    </row>
    <row r="55" spans="1:20" ht="25.5">
      <c r="A55" s="16" t="s">
        <v>87</v>
      </c>
      <c r="B55" s="20" t="s">
        <v>268</v>
      </c>
      <c r="C55" s="20" t="s">
        <v>62</v>
      </c>
      <c r="D55" s="20" t="s">
        <v>83</v>
      </c>
      <c r="E55" s="97" t="s">
        <v>425</v>
      </c>
      <c r="F55" s="97" t="s">
        <v>88</v>
      </c>
      <c r="G55" s="187">
        <f>1027.3-331.7</f>
        <v>695.59999999999991</v>
      </c>
      <c r="H55" s="187">
        <f>556.8+138.8</f>
        <v>695.59999999999991</v>
      </c>
      <c r="I55" s="187">
        <f t="shared" si="3"/>
        <v>0</v>
      </c>
      <c r="J55" s="189">
        <f t="shared" si="4"/>
        <v>100</v>
      </c>
      <c r="M55" s="68"/>
      <c r="N55" s="68"/>
      <c r="O55" s="68"/>
      <c r="P55" s="68"/>
      <c r="Q55" s="68"/>
      <c r="R55" s="68"/>
      <c r="S55" s="68"/>
      <c r="T55" s="68"/>
    </row>
    <row r="56" spans="1:20" ht="38.25">
      <c r="A56" s="16" t="s">
        <v>426</v>
      </c>
      <c r="B56" s="20" t="s">
        <v>268</v>
      </c>
      <c r="C56" s="20" t="s">
        <v>62</v>
      </c>
      <c r="D56" s="20" t="s">
        <v>83</v>
      </c>
      <c r="E56" s="97" t="s">
        <v>427</v>
      </c>
      <c r="F56" s="121"/>
      <c r="G56" s="187">
        <f>G57</f>
        <v>763.7</v>
      </c>
      <c r="H56" s="187">
        <f>H57</f>
        <v>290.90000000000003</v>
      </c>
      <c r="I56" s="187">
        <f t="shared" si="3"/>
        <v>472.8</v>
      </c>
      <c r="J56" s="189">
        <f t="shared" si="4"/>
        <v>38.090873379599323</v>
      </c>
      <c r="M56" s="68"/>
      <c r="N56" s="68"/>
      <c r="O56" s="68"/>
      <c r="P56" s="68"/>
      <c r="Q56" s="68"/>
      <c r="R56" s="68"/>
      <c r="S56" s="68"/>
      <c r="T56" s="68"/>
    </row>
    <row r="57" spans="1:20" ht="127.5">
      <c r="A57" s="16" t="s">
        <v>428</v>
      </c>
      <c r="B57" s="20" t="s">
        <v>268</v>
      </c>
      <c r="C57" s="20" t="s">
        <v>62</v>
      </c>
      <c r="D57" s="20" t="s">
        <v>83</v>
      </c>
      <c r="E57" s="97" t="s">
        <v>429</v>
      </c>
      <c r="F57" s="97"/>
      <c r="G57" s="187">
        <f>G58+G60</f>
        <v>763.7</v>
      </c>
      <c r="H57" s="187">
        <f>H58+H60</f>
        <v>290.90000000000003</v>
      </c>
      <c r="I57" s="187">
        <f t="shared" si="3"/>
        <v>472.8</v>
      </c>
      <c r="J57" s="189">
        <f t="shared" si="4"/>
        <v>38.090873379599323</v>
      </c>
      <c r="M57" s="68"/>
      <c r="N57" s="68"/>
      <c r="O57" s="68"/>
      <c r="P57" s="68"/>
      <c r="Q57" s="68"/>
      <c r="R57" s="68"/>
      <c r="S57" s="68"/>
      <c r="T57" s="68"/>
    </row>
    <row r="58" spans="1:20" ht="51">
      <c r="A58" s="16" t="s">
        <v>90</v>
      </c>
      <c r="B58" s="20" t="s">
        <v>268</v>
      </c>
      <c r="C58" s="20" t="s">
        <v>62</v>
      </c>
      <c r="D58" s="20" t="s">
        <v>83</v>
      </c>
      <c r="E58" s="97" t="s">
        <v>429</v>
      </c>
      <c r="F58" s="97" t="s">
        <v>91</v>
      </c>
      <c r="G58" s="187">
        <f>G59</f>
        <v>734.7</v>
      </c>
      <c r="H58" s="187">
        <f>H59</f>
        <v>267.90000000000003</v>
      </c>
      <c r="I58" s="187">
        <f t="shared" si="3"/>
        <v>466.8</v>
      </c>
      <c r="J58" s="189">
        <f t="shared" si="4"/>
        <v>36.463862801143328</v>
      </c>
      <c r="M58" s="68"/>
      <c r="N58" s="68"/>
      <c r="O58" s="68"/>
      <c r="P58" s="68"/>
      <c r="Q58" s="68"/>
      <c r="R58" s="68"/>
      <c r="S58" s="68"/>
      <c r="T58" s="68"/>
    </row>
    <row r="59" spans="1:20" ht="25.5">
      <c r="A59" s="16" t="s">
        <v>87</v>
      </c>
      <c r="B59" s="20" t="s">
        <v>268</v>
      </c>
      <c r="C59" s="20" t="s">
        <v>62</v>
      </c>
      <c r="D59" s="20" t="s">
        <v>83</v>
      </c>
      <c r="E59" s="97" t="s">
        <v>429</v>
      </c>
      <c r="F59" s="97" t="s">
        <v>88</v>
      </c>
      <c r="G59" s="187">
        <f>1182.2+9.5-191.7-265.3</f>
        <v>734.7</v>
      </c>
      <c r="H59" s="187">
        <f>213.8+54.1</f>
        <v>267.90000000000003</v>
      </c>
      <c r="I59" s="187">
        <f t="shared" si="3"/>
        <v>466.8</v>
      </c>
      <c r="J59" s="189">
        <f t="shared" si="4"/>
        <v>36.463862801143328</v>
      </c>
      <c r="M59" s="68"/>
      <c r="N59" s="68"/>
      <c r="O59" s="68"/>
      <c r="P59" s="68"/>
      <c r="Q59" s="68"/>
      <c r="R59" s="68"/>
      <c r="S59" s="68"/>
      <c r="T59" s="68"/>
    </row>
    <row r="60" spans="1:20" ht="25.5">
      <c r="A60" s="16" t="s">
        <v>331</v>
      </c>
      <c r="B60" s="20" t="s">
        <v>268</v>
      </c>
      <c r="C60" s="20" t="s">
        <v>62</v>
      </c>
      <c r="D60" s="20" t="s">
        <v>83</v>
      </c>
      <c r="E60" s="97" t="s">
        <v>429</v>
      </c>
      <c r="F60" s="97" t="s">
        <v>92</v>
      </c>
      <c r="G60" s="187">
        <f>G61</f>
        <v>28.999999999999993</v>
      </c>
      <c r="H60" s="187">
        <f>H61</f>
        <v>23</v>
      </c>
      <c r="I60" s="187">
        <f t="shared" si="3"/>
        <v>5.9999999999999929</v>
      </c>
      <c r="J60" s="189">
        <f t="shared" si="4"/>
        <v>79.310344827586221</v>
      </c>
      <c r="M60" s="68"/>
      <c r="N60" s="68"/>
      <c r="O60" s="68"/>
      <c r="P60" s="68"/>
      <c r="Q60" s="68"/>
      <c r="R60" s="68"/>
      <c r="S60" s="68"/>
      <c r="T60" s="68"/>
    </row>
    <row r="61" spans="1:20" ht="25.5">
      <c r="A61" s="16" t="s">
        <v>556</v>
      </c>
      <c r="B61" s="20" t="s">
        <v>268</v>
      </c>
      <c r="C61" s="20" t="s">
        <v>62</v>
      </c>
      <c r="D61" s="20" t="s">
        <v>83</v>
      </c>
      <c r="E61" s="97" t="s">
        <v>429</v>
      </c>
      <c r="F61" s="97" t="s">
        <v>89</v>
      </c>
      <c r="G61" s="187">
        <f>67.1-9.5-28.6</f>
        <v>28.999999999999993</v>
      </c>
      <c r="H61" s="187">
        <v>23</v>
      </c>
      <c r="I61" s="187">
        <f t="shared" si="3"/>
        <v>5.9999999999999929</v>
      </c>
      <c r="J61" s="189">
        <f t="shared" si="4"/>
        <v>79.310344827586221</v>
      </c>
      <c r="M61" s="68"/>
      <c r="N61" s="68"/>
      <c r="O61" s="68"/>
      <c r="P61" s="68"/>
      <c r="Q61" s="68"/>
      <c r="R61" s="68"/>
      <c r="S61" s="68"/>
      <c r="T61" s="68"/>
    </row>
    <row r="62" spans="1:20">
      <c r="A62" s="16" t="s">
        <v>430</v>
      </c>
      <c r="B62" s="20" t="s">
        <v>268</v>
      </c>
      <c r="C62" s="20" t="s">
        <v>62</v>
      </c>
      <c r="D62" s="20" t="s">
        <v>83</v>
      </c>
      <c r="E62" s="102" t="s">
        <v>431</v>
      </c>
      <c r="F62" s="97"/>
      <c r="G62" s="187">
        <f>G63+G75+G86</f>
        <v>236.8</v>
      </c>
      <c r="H62" s="187">
        <f>H63+H75+H86</f>
        <v>226.4</v>
      </c>
      <c r="I62" s="187">
        <f t="shared" si="3"/>
        <v>10.400000000000006</v>
      </c>
      <c r="J62" s="189">
        <f t="shared" si="4"/>
        <v>95.608108108108098</v>
      </c>
      <c r="M62" s="68"/>
      <c r="N62" s="68"/>
      <c r="O62" s="68"/>
      <c r="P62" s="68"/>
      <c r="Q62" s="68"/>
      <c r="R62" s="68"/>
      <c r="S62" s="68"/>
      <c r="T62" s="68"/>
    </row>
    <row r="63" spans="1:20" ht="38.25">
      <c r="A63" s="28" t="str">
        <f>'МП пр.5'!A522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63" s="20" t="s">
        <v>268</v>
      </c>
      <c r="C63" s="20" t="s">
        <v>62</v>
      </c>
      <c r="D63" s="20" t="s">
        <v>83</v>
      </c>
      <c r="E63" s="102" t="str">
        <f>'МП пр.5'!B522</f>
        <v xml:space="preserve">7Т 0 00 00000 </v>
      </c>
      <c r="F63" s="98"/>
      <c r="G63" s="187">
        <f>G64+G71</f>
        <v>70</v>
      </c>
      <c r="H63" s="187">
        <f>H64+H71</f>
        <v>66.600000000000009</v>
      </c>
      <c r="I63" s="187">
        <f t="shared" si="3"/>
        <v>3.3999999999999915</v>
      </c>
      <c r="J63" s="189">
        <f t="shared" si="4"/>
        <v>95.142857142857153</v>
      </c>
      <c r="M63" s="68"/>
      <c r="N63" s="68"/>
      <c r="O63" s="68"/>
      <c r="P63" s="68"/>
      <c r="Q63" s="68"/>
      <c r="R63" s="68"/>
      <c r="S63" s="68"/>
      <c r="T63" s="68"/>
    </row>
    <row r="64" spans="1:20" ht="25.5">
      <c r="A64" s="28" t="str">
        <f>'МП пр.5'!A523</f>
        <v>Основное мероприятие "Усиление роли общественности в профилактике правонарушений и борьбе с преступностью"</v>
      </c>
      <c r="B64" s="20" t="s">
        <v>268</v>
      </c>
      <c r="C64" s="20" t="s">
        <v>62</v>
      </c>
      <c r="D64" s="20" t="s">
        <v>83</v>
      </c>
      <c r="E64" s="102" t="str">
        <f>'МП пр.5'!B523</f>
        <v xml:space="preserve">7Т 0 04 00000 </v>
      </c>
      <c r="F64" s="98"/>
      <c r="G64" s="187">
        <f>G65+G68</f>
        <v>46.7</v>
      </c>
      <c r="H64" s="187">
        <f>H65+H68</f>
        <v>43.300000000000004</v>
      </c>
      <c r="I64" s="187">
        <f t="shared" si="3"/>
        <v>3.3999999999999986</v>
      </c>
      <c r="J64" s="189">
        <f t="shared" si="4"/>
        <v>92.719486081370448</v>
      </c>
      <c r="M64" s="68"/>
      <c r="N64" s="68"/>
      <c r="O64" s="68"/>
      <c r="P64" s="68"/>
      <c r="Q64" s="68"/>
      <c r="R64" s="68"/>
      <c r="S64" s="68"/>
      <c r="T64" s="68"/>
    </row>
    <row r="65" spans="1:20" ht="51">
      <c r="A65" s="28" t="str">
        <f>'МП пр.5'!A524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65" s="20" t="s">
        <v>268</v>
      </c>
      <c r="C65" s="20" t="s">
        <v>62</v>
      </c>
      <c r="D65" s="20" t="s">
        <v>83</v>
      </c>
      <c r="E65" s="102" t="str">
        <f>'МП пр.5'!B524</f>
        <v xml:space="preserve">7Т 0 04 95000 </v>
      </c>
      <c r="F65" s="98"/>
      <c r="G65" s="187">
        <f>G66</f>
        <v>8</v>
      </c>
      <c r="H65" s="187">
        <f>H66</f>
        <v>4.5999999999999996</v>
      </c>
      <c r="I65" s="187">
        <f t="shared" si="3"/>
        <v>3.4000000000000004</v>
      </c>
      <c r="J65" s="189">
        <f t="shared" si="4"/>
        <v>57.499999999999993</v>
      </c>
      <c r="M65" s="68"/>
      <c r="N65" s="68"/>
      <c r="O65" s="68"/>
      <c r="P65" s="68"/>
      <c r="Q65" s="68"/>
      <c r="R65" s="68"/>
      <c r="S65" s="68"/>
      <c r="T65" s="68"/>
    </row>
    <row r="66" spans="1:20" ht="25.5">
      <c r="A66" s="16" t="s">
        <v>331</v>
      </c>
      <c r="B66" s="20" t="s">
        <v>268</v>
      </c>
      <c r="C66" s="20" t="s">
        <v>62</v>
      </c>
      <c r="D66" s="20" t="s">
        <v>83</v>
      </c>
      <c r="E66" s="102" t="str">
        <f>E65</f>
        <v xml:space="preserve">7Т 0 04 95000 </v>
      </c>
      <c r="F66" s="98" t="s">
        <v>92</v>
      </c>
      <c r="G66" s="187">
        <f>G67</f>
        <v>8</v>
      </c>
      <c r="H66" s="187">
        <f>H67</f>
        <v>4.5999999999999996</v>
      </c>
      <c r="I66" s="187">
        <f t="shared" si="3"/>
        <v>3.4000000000000004</v>
      </c>
      <c r="J66" s="189">
        <f t="shared" si="4"/>
        <v>57.499999999999993</v>
      </c>
      <c r="M66" s="68"/>
      <c r="N66" s="68"/>
      <c r="O66" s="68"/>
      <c r="P66" s="68"/>
      <c r="Q66" s="68"/>
      <c r="R66" s="68"/>
      <c r="S66" s="68"/>
      <c r="T66" s="68"/>
    </row>
    <row r="67" spans="1:20" ht="25.5">
      <c r="A67" s="16" t="s">
        <v>556</v>
      </c>
      <c r="B67" s="20" t="s">
        <v>268</v>
      </c>
      <c r="C67" s="20" t="s">
        <v>62</v>
      </c>
      <c r="D67" s="20" t="s">
        <v>83</v>
      </c>
      <c r="E67" s="102" t="str">
        <f>E66</f>
        <v xml:space="preserve">7Т 0 04 95000 </v>
      </c>
      <c r="F67" s="98" t="s">
        <v>89</v>
      </c>
      <c r="G67" s="187">
        <f>'МП пр.5'!G529</f>
        <v>8</v>
      </c>
      <c r="H67" s="187">
        <f>'МП пр.5'!H529</f>
        <v>4.5999999999999996</v>
      </c>
      <c r="I67" s="187">
        <f t="shared" si="3"/>
        <v>3.4000000000000004</v>
      </c>
      <c r="J67" s="189">
        <f t="shared" si="4"/>
        <v>57.499999999999993</v>
      </c>
      <c r="M67" s="68"/>
      <c r="N67" s="68"/>
      <c r="O67" s="68"/>
      <c r="P67" s="68"/>
      <c r="Q67" s="68"/>
      <c r="R67" s="68"/>
      <c r="S67" s="68"/>
      <c r="T67" s="68"/>
    </row>
    <row r="68" spans="1:20" ht="38.25">
      <c r="A68" s="28" t="str">
        <f>'МП пр.5'!A530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68" s="20" t="s">
        <v>268</v>
      </c>
      <c r="C68" s="20" t="s">
        <v>62</v>
      </c>
      <c r="D68" s="20" t="s">
        <v>83</v>
      </c>
      <c r="E68" s="102" t="str">
        <f>'МП пр.5'!B530</f>
        <v xml:space="preserve">7Т 0 04 95140 </v>
      </c>
      <c r="F68" s="98"/>
      <c r="G68" s="187">
        <f>G69</f>
        <v>38.700000000000003</v>
      </c>
      <c r="H68" s="187">
        <f>H69</f>
        <v>38.700000000000003</v>
      </c>
      <c r="I68" s="187">
        <f t="shared" si="3"/>
        <v>0</v>
      </c>
      <c r="J68" s="189">
        <f t="shared" si="4"/>
        <v>100</v>
      </c>
      <c r="M68" s="68"/>
      <c r="N68" s="68"/>
      <c r="O68" s="68"/>
      <c r="P68" s="68"/>
      <c r="Q68" s="68"/>
      <c r="R68" s="68"/>
      <c r="S68" s="68"/>
      <c r="T68" s="68"/>
    </row>
    <row r="69" spans="1:20" ht="51">
      <c r="A69" s="16" t="s">
        <v>90</v>
      </c>
      <c r="B69" s="20" t="s">
        <v>268</v>
      </c>
      <c r="C69" s="20" t="s">
        <v>62</v>
      </c>
      <c r="D69" s="20" t="s">
        <v>83</v>
      </c>
      <c r="E69" s="102" t="str">
        <f>E68</f>
        <v xml:space="preserve">7Т 0 04 95140 </v>
      </c>
      <c r="F69" s="97" t="s">
        <v>91</v>
      </c>
      <c r="G69" s="187">
        <f>G70</f>
        <v>38.700000000000003</v>
      </c>
      <c r="H69" s="187">
        <f>H70</f>
        <v>38.700000000000003</v>
      </c>
      <c r="I69" s="187">
        <f t="shared" si="3"/>
        <v>0</v>
      </c>
      <c r="J69" s="189">
        <f t="shared" si="4"/>
        <v>100</v>
      </c>
      <c r="M69" s="68"/>
      <c r="N69" s="68"/>
      <c r="O69" s="68"/>
      <c r="P69" s="68"/>
      <c r="Q69" s="68"/>
      <c r="R69" s="68"/>
      <c r="S69" s="68"/>
      <c r="T69" s="68"/>
    </row>
    <row r="70" spans="1:20" ht="25.5">
      <c r="A70" s="16" t="s">
        <v>87</v>
      </c>
      <c r="B70" s="20" t="s">
        <v>268</v>
      </c>
      <c r="C70" s="20" t="s">
        <v>62</v>
      </c>
      <c r="D70" s="20" t="s">
        <v>83</v>
      </c>
      <c r="E70" s="102" t="str">
        <f>E69</f>
        <v xml:space="preserve">7Т 0 04 95140 </v>
      </c>
      <c r="F70" s="98" t="s">
        <v>88</v>
      </c>
      <c r="G70" s="187">
        <f>'МП пр.5'!G535</f>
        <v>38.700000000000003</v>
      </c>
      <c r="H70" s="187">
        <f>'МП пр.5'!H535</f>
        <v>38.700000000000003</v>
      </c>
      <c r="I70" s="187">
        <f t="shared" si="3"/>
        <v>0</v>
      </c>
      <c r="J70" s="189">
        <f t="shared" si="4"/>
        <v>100</v>
      </c>
      <c r="M70" s="68"/>
      <c r="N70" s="68"/>
      <c r="O70" s="68"/>
      <c r="P70" s="68"/>
      <c r="Q70" s="68"/>
      <c r="R70" s="68"/>
      <c r="S70" s="68"/>
      <c r="T70" s="68"/>
    </row>
    <row r="71" spans="1:20" ht="28.9" customHeight="1">
      <c r="A71" s="16" t="str">
        <f>'МП пр.5'!A536</f>
        <v>Основное мероприятие "Профилактика правонарушений по отдельным видам противоправной деятельности"</v>
      </c>
      <c r="B71" s="20" t="s">
        <v>268</v>
      </c>
      <c r="C71" s="20" t="s">
        <v>62</v>
      </c>
      <c r="D71" s="20" t="s">
        <v>83</v>
      </c>
      <c r="E71" s="102" t="str">
        <f>'МП пр.5'!B536</f>
        <v xml:space="preserve">7Т 0 05 00000 </v>
      </c>
      <c r="F71" s="98"/>
      <c r="G71" s="187">
        <f t="shared" ref="G71:H73" si="6">G72</f>
        <v>23.3</v>
      </c>
      <c r="H71" s="187">
        <f t="shared" si="6"/>
        <v>23.3</v>
      </c>
      <c r="I71" s="187">
        <f t="shared" si="3"/>
        <v>0</v>
      </c>
      <c r="J71" s="189">
        <f t="shared" si="4"/>
        <v>100</v>
      </c>
      <c r="M71" s="68"/>
      <c r="N71" s="68"/>
      <c r="O71" s="68"/>
      <c r="P71" s="68"/>
      <c r="Q71" s="68"/>
      <c r="R71" s="68"/>
      <c r="S71" s="68"/>
      <c r="T71" s="68"/>
    </row>
    <row r="72" spans="1:20" ht="25.5">
      <c r="A72" s="16" t="str">
        <f>'МП пр.5'!A537</f>
        <v>Приобретение, изготовление баннеров и иной наглядной продукции антитеррористической направленности</v>
      </c>
      <c r="B72" s="20" t="s">
        <v>268</v>
      </c>
      <c r="C72" s="20" t="s">
        <v>62</v>
      </c>
      <c r="D72" s="20" t="s">
        <v>83</v>
      </c>
      <c r="E72" s="102" t="str">
        <f>'МП пр.5'!B537</f>
        <v xml:space="preserve">7Т 0 05 95160 </v>
      </c>
      <c r="F72" s="98"/>
      <c r="G72" s="187">
        <f t="shared" si="6"/>
        <v>23.3</v>
      </c>
      <c r="H72" s="187">
        <f t="shared" si="6"/>
        <v>23.3</v>
      </c>
      <c r="I72" s="187">
        <f t="shared" si="3"/>
        <v>0</v>
      </c>
      <c r="J72" s="189">
        <f t="shared" si="4"/>
        <v>100</v>
      </c>
      <c r="M72" s="68"/>
      <c r="N72" s="68"/>
      <c r="O72" s="68"/>
      <c r="P72" s="68"/>
      <c r="Q72" s="68"/>
      <c r="R72" s="68"/>
      <c r="S72" s="68"/>
      <c r="T72" s="68"/>
    </row>
    <row r="73" spans="1:20" ht="25.5">
      <c r="A73" s="16" t="str">
        <f>'МП пр.5'!A539</f>
        <v>Закупка товаров, работ и услуг для обеспечения государственных (муниципальных) нужд</v>
      </c>
      <c r="B73" s="20" t="s">
        <v>268</v>
      </c>
      <c r="C73" s="20" t="s">
        <v>62</v>
      </c>
      <c r="D73" s="20" t="s">
        <v>83</v>
      </c>
      <c r="E73" s="102" t="str">
        <f>'МП пр.5'!B539</f>
        <v xml:space="preserve">7Т 0 05 95160 </v>
      </c>
      <c r="F73" s="98" t="s">
        <v>92</v>
      </c>
      <c r="G73" s="187">
        <f t="shared" si="6"/>
        <v>23.3</v>
      </c>
      <c r="H73" s="187">
        <f t="shared" si="6"/>
        <v>23.3</v>
      </c>
      <c r="I73" s="187">
        <f t="shared" si="3"/>
        <v>0</v>
      </c>
      <c r="J73" s="189">
        <f t="shared" si="4"/>
        <v>100</v>
      </c>
      <c r="M73" s="68"/>
      <c r="N73" s="68"/>
      <c r="O73" s="68"/>
      <c r="P73" s="68"/>
      <c r="Q73" s="68"/>
      <c r="R73" s="68"/>
      <c r="S73" s="68"/>
      <c r="T73" s="68"/>
    </row>
    <row r="74" spans="1:20" ht="25.5">
      <c r="A74" s="16" t="str">
        <f>'МП пр.5'!A541</f>
        <v>Иные закупки товаров, работ и услуг для обеспечения государственных (муниципальных )нужд</v>
      </c>
      <c r="B74" s="20" t="s">
        <v>268</v>
      </c>
      <c r="C74" s="20" t="s">
        <v>62</v>
      </c>
      <c r="D74" s="20" t="s">
        <v>83</v>
      </c>
      <c r="E74" s="102" t="str">
        <f>'МП пр.5'!B541</f>
        <v xml:space="preserve">7Т 0 05 95160 </v>
      </c>
      <c r="F74" s="98" t="s">
        <v>89</v>
      </c>
      <c r="G74" s="187">
        <f>'МП пр.5'!G542</f>
        <v>23.3</v>
      </c>
      <c r="H74" s="187">
        <f>'МП пр.5'!H542</f>
        <v>23.3</v>
      </c>
      <c r="I74" s="187">
        <f t="shared" si="3"/>
        <v>0</v>
      </c>
      <c r="J74" s="189">
        <f t="shared" si="4"/>
        <v>100</v>
      </c>
      <c r="M74" s="68"/>
      <c r="N74" s="68"/>
      <c r="O74" s="68"/>
      <c r="P74" s="68"/>
      <c r="Q74" s="68"/>
      <c r="R74" s="68"/>
      <c r="S74" s="68"/>
      <c r="T74" s="68"/>
    </row>
    <row r="75" spans="1:20" ht="38.25">
      <c r="A75" s="16" t="str">
        <f>'МП пр.5'!A707</f>
        <v>Муниципальная программа "Развитие муниципальной службы в муниципальном образовании  "Сусуманский городской округ" на 2018- 2022 годы"</v>
      </c>
      <c r="B75" s="20" t="s">
        <v>268</v>
      </c>
      <c r="C75" s="20" t="s">
        <v>62</v>
      </c>
      <c r="D75" s="20" t="s">
        <v>83</v>
      </c>
      <c r="E75" s="102" t="str">
        <f>'МП пр.5'!B707</f>
        <v>7R 0 00 00000</v>
      </c>
      <c r="F75" s="98"/>
      <c r="G75" s="187">
        <f>G76</f>
        <v>122.3</v>
      </c>
      <c r="H75" s="187">
        <f>H76</f>
        <v>115.3</v>
      </c>
      <c r="I75" s="187">
        <f t="shared" si="3"/>
        <v>7</v>
      </c>
      <c r="J75" s="189">
        <f t="shared" si="4"/>
        <v>94.276369582992629</v>
      </c>
      <c r="M75" s="68"/>
      <c r="N75" s="68"/>
      <c r="O75" s="68"/>
      <c r="P75" s="68"/>
      <c r="Q75" s="68"/>
      <c r="R75" s="68"/>
      <c r="S75" s="68"/>
      <c r="T75" s="68"/>
    </row>
    <row r="76" spans="1:20" ht="51">
      <c r="A76" s="16" t="str">
        <f>'МП пр.5'!A708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76" s="20" t="s">
        <v>268</v>
      </c>
      <c r="C76" s="20" t="s">
        <v>62</v>
      </c>
      <c r="D76" s="20" t="s">
        <v>83</v>
      </c>
      <c r="E76" s="102" t="str">
        <f>'МП пр.5'!B708</f>
        <v>7R 0 01 00000</v>
      </c>
      <c r="F76" s="98"/>
      <c r="G76" s="187">
        <f>G77+G80+G83</f>
        <v>122.3</v>
      </c>
      <c r="H76" s="187">
        <f>H77+H80+H83</f>
        <v>115.3</v>
      </c>
      <c r="I76" s="187">
        <f t="shared" si="3"/>
        <v>7</v>
      </c>
      <c r="J76" s="189">
        <f t="shared" si="4"/>
        <v>94.276369582992629</v>
      </c>
      <c r="M76" s="68"/>
      <c r="N76" s="68"/>
      <c r="O76" s="68"/>
      <c r="P76" s="68"/>
      <c r="Q76" s="68"/>
      <c r="R76" s="68"/>
      <c r="S76" s="68"/>
      <c r="T76" s="68"/>
    </row>
    <row r="77" spans="1:20" ht="25.5">
      <c r="A77" s="16" t="str">
        <f>'МП пр.5'!A709</f>
        <v xml:space="preserve">Дополнительное профессиональное образование для лиц, замещающих муниципальные должности                         </v>
      </c>
      <c r="B77" s="20" t="s">
        <v>268</v>
      </c>
      <c r="C77" s="20" t="s">
        <v>62</v>
      </c>
      <c r="D77" s="20" t="s">
        <v>83</v>
      </c>
      <c r="E77" s="102" t="str">
        <f>'МП пр.5'!B709</f>
        <v>7R 0 01 73260</v>
      </c>
      <c r="F77" s="98"/>
      <c r="G77" s="187">
        <f>G78</f>
        <v>20</v>
      </c>
      <c r="H77" s="187">
        <f>H78</f>
        <v>20</v>
      </c>
      <c r="I77" s="187">
        <f t="shared" si="3"/>
        <v>0</v>
      </c>
      <c r="J77" s="189">
        <f t="shared" si="4"/>
        <v>100</v>
      </c>
      <c r="M77" s="68"/>
      <c r="N77" s="68"/>
      <c r="O77" s="68"/>
      <c r="P77" s="68"/>
      <c r="Q77" s="68"/>
      <c r="R77" s="68"/>
      <c r="S77" s="68"/>
      <c r="T77" s="68"/>
    </row>
    <row r="78" spans="1:20" ht="25.5">
      <c r="A78" s="16" t="s">
        <v>331</v>
      </c>
      <c r="B78" s="20" t="s">
        <v>268</v>
      </c>
      <c r="C78" s="20" t="s">
        <v>62</v>
      </c>
      <c r="D78" s="20" t="s">
        <v>83</v>
      </c>
      <c r="E78" s="102" t="str">
        <f>'МП пр.5'!B710</f>
        <v>7R 0 01 73260</v>
      </c>
      <c r="F78" s="98" t="s">
        <v>92</v>
      </c>
      <c r="G78" s="187">
        <f>G79</f>
        <v>20</v>
      </c>
      <c r="H78" s="187">
        <f>H79</f>
        <v>20</v>
      </c>
      <c r="I78" s="187">
        <f t="shared" si="3"/>
        <v>0</v>
      </c>
      <c r="J78" s="189">
        <f t="shared" si="4"/>
        <v>100</v>
      </c>
      <c r="M78" s="68"/>
      <c r="N78" s="68"/>
      <c r="O78" s="68"/>
      <c r="P78" s="68"/>
      <c r="Q78" s="68"/>
      <c r="R78" s="68"/>
      <c r="S78" s="68"/>
      <c r="T78" s="68"/>
    </row>
    <row r="79" spans="1:20" ht="25.5">
      <c r="A79" s="16" t="s">
        <v>556</v>
      </c>
      <c r="B79" s="20" t="s">
        <v>268</v>
      </c>
      <c r="C79" s="20" t="s">
        <v>62</v>
      </c>
      <c r="D79" s="20" t="s">
        <v>83</v>
      </c>
      <c r="E79" s="102" t="str">
        <f>'МП пр.5'!B711</f>
        <v>7R 0 01 73260</v>
      </c>
      <c r="F79" s="98" t="s">
        <v>89</v>
      </c>
      <c r="G79" s="187">
        <f>'МП пр.5'!G714</f>
        <v>20</v>
      </c>
      <c r="H79" s="187">
        <f>'МП пр.5'!H714</f>
        <v>20</v>
      </c>
      <c r="I79" s="187">
        <f t="shared" ref="I79:I142" si="7">G79-H79</f>
        <v>0</v>
      </c>
      <c r="J79" s="189">
        <f t="shared" ref="J79:J142" si="8">H79/G79*100</f>
        <v>100</v>
      </c>
      <c r="M79" s="68"/>
      <c r="N79" s="68"/>
      <c r="O79" s="68"/>
      <c r="P79" s="68"/>
      <c r="Q79" s="68"/>
      <c r="R79" s="68"/>
      <c r="S79" s="68"/>
      <c r="T79" s="68"/>
    </row>
    <row r="80" spans="1:20" ht="38.25">
      <c r="A80" s="16" t="str">
        <f>'МП пр.5'!A715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80" s="20" t="s">
        <v>268</v>
      </c>
      <c r="C80" s="20" t="s">
        <v>62</v>
      </c>
      <c r="D80" s="20" t="s">
        <v>83</v>
      </c>
      <c r="E80" s="102" t="str">
        <f>'МП пр.5'!B715</f>
        <v>7R 0 01 S3260</v>
      </c>
      <c r="F80" s="98"/>
      <c r="G80" s="187">
        <f>G81</f>
        <v>7.3</v>
      </c>
      <c r="H80" s="187">
        <f>H81</f>
        <v>0.3</v>
      </c>
      <c r="I80" s="187">
        <f t="shared" si="7"/>
        <v>7</v>
      </c>
      <c r="J80" s="189">
        <f t="shared" si="8"/>
        <v>4.10958904109589</v>
      </c>
      <c r="M80" s="68"/>
      <c r="N80" s="68"/>
      <c r="O80" s="68"/>
      <c r="P80" s="68"/>
      <c r="Q80" s="68"/>
      <c r="R80" s="68"/>
      <c r="S80" s="68"/>
      <c r="T80" s="68"/>
    </row>
    <row r="81" spans="1:20" ht="25.5">
      <c r="A81" s="16" t="s">
        <v>331</v>
      </c>
      <c r="B81" s="20" t="s">
        <v>268</v>
      </c>
      <c r="C81" s="20" t="s">
        <v>62</v>
      </c>
      <c r="D81" s="20" t="s">
        <v>83</v>
      </c>
      <c r="E81" s="102" t="s">
        <v>281</v>
      </c>
      <c r="F81" s="98" t="s">
        <v>92</v>
      </c>
      <c r="G81" s="187">
        <f>G82</f>
        <v>7.3</v>
      </c>
      <c r="H81" s="187">
        <f>H82</f>
        <v>0.3</v>
      </c>
      <c r="I81" s="187">
        <f t="shared" si="7"/>
        <v>7</v>
      </c>
      <c r="J81" s="189">
        <f t="shared" si="8"/>
        <v>4.10958904109589</v>
      </c>
      <c r="M81" s="68"/>
      <c r="N81" s="68"/>
      <c r="O81" s="68"/>
      <c r="P81" s="68"/>
      <c r="Q81" s="68"/>
      <c r="R81" s="68"/>
      <c r="S81" s="68"/>
      <c r="T81" s="68"/>
    </row>
    <row r="82" spans="1:20" ht="25.5">
      <c r="A82" s="16" t="s">
        <v>556</v>
      </c>
      <c r="B82" s="20" t="s">
        <v>268</v>
      </c>
      <c r="C82" s="20" t="s">
        <v>62</v>
      </c>
      <c r="D82" s="20" t="s">
        <v>83</v>
      </c>
      <c r="E82" s="102" t="str">
        <f>E81</f>
        <v>7R 0 01 S3260</v>
      </c>
      <c r="F82" s="98" t="s">
        <v>89</v>
      </c>
      <c r="G82" s="187">
        <f>'МП пр.5'!G720</f>
        <v>7.3</v>
      </c>
      <c r="H82" s="187">
        <f>'МП пр.5'!H720</f>
        <v>0.3</v>
      </c>
      <c r="I82" s="187">
        <f t="shared" si="7"/>
        <v>7</v>
      </c>
      <c r="J82" s="189">
        <f t="shared" si="8"/>
        <v>4.10958904109589</v>
      </c>
      <c r="M82" s="68"/>
      <c r="N82" s="68"/>
      <c r="O82" s="68"/>
      <c r="P82" s="68"/>
      <c r="Q82" s="68"/>
      <c r="R82" s="68"/>
      <c r="S82" s="68"/>
      <c r="T82" s="68"/>
    </row>
    <row r="83" spans="1:20" ht="25.5">
      <c r="A83" s="16" t="str">
        <f>'МП пр.5'!A721</f>
        <v>Повышение профессионального уровня муниципальных служащих</v>
      </c>
      <c r="B83" s="20" t="s">
        <v>268</v>
      </c>
      <c r="C83" s="20" t="s">
        <v>62</v>
      </c>
      <c r="D83" s="20" t="s">
        <v>83</v>
      </c>
      <c r="E83" s="102" t="str">
        <f>'МП пр.5'!B721</f>
        <v>7R 0 01 98600</v>
      </c>
      <c r="F83" s="98"/>
      <c r="G83" s="187">
        <f>G84</f>
        <v>95</v>
      </c>
      <c r="H83" s="187">
        <f>H84</f>
        <v>95</v>
      </c>
      <c r="I83" s="187">
        <f t="shared" si="7"/>
        <v>0</v>
      </c>
      <c r="J83" s="189">
        <f t="shared" si="8"/>
        <v>100</v>
      </c>
      <c r="M83" s="68"/>
      <c r="N83" s="68"/>
      <c r="O83" s="68"/>
      <c r="P83" s="68"/>
      <c r="Q83" s="68"/>
      <c r="R83" s="68"/>
      <c r="S83" s="68"/>
      <c r="T83" s="68"/>
    </row>
    <row r="84" spans="1:20" ht="25.5">
      <c r="A84" s="16" t="s">
        <v>331</v>
      </c>
      <c r="B84" s="20" t="s">
        <v>268</v>
      </c>
      <c r="C84" s="20" t="s">
        <v>62</v>
      </c>
      <c r="D84" s="20" t="s">
        <v>83</v>
      </c>
      <c r="E84" s="102" t="str">
        <f>E83</f>
        <v>7R 0 01 98600</v>
      </c>
      <c r="F84" s="98" t="s">
        <v>92</v>
      </c>
      <c r="G84" s="187">
        <f>G85</f>
        <v>95</v>
      </c>
      <c r="H84" s="187">
        <f>H85</f>
        <v>95</v>
      </c>
      <c r="I84" s="187">
        <f t="shared" si="7"/>
        <v>0</v>
      </c>
      <c r="J84" s="189">
        <f t="shared" si="8"/>
        <v>100</v>
      </c>
      <c r="M84" s="68"/>
      <c r="N84" s="68"/>
      <c r="O84" s="68"/>
      <c r="P84" s="68"/>
      <c r="Q84" s="68"/>
      <c r="R84" s="68"/>
      <c r="S84" s="68"/>
      <c r="T84" s="68"/>
    </row>
    <row r="85" spans="1:20" ht="25.5">
      <c r="A85" s="16" t="s">
        <v>556</v>
      </c>
      <c r="B85" s="20" t="s">
        <v>268</v>
      </c>
      <c r="C85" s="20" t="s">
        <v>62</v>
      </c>
      <c r="D85" s="20" t="s">
        <v>83</v>
      </c>
      <c r="E85" s="102" t="str">
        <f>E84</f>
        <v>7R 0 01 98600</v>
      </c>
      <c r="F85" s="98" t="s">
        <v>89</v>
      </c>
      <c r="G85" s="187">
        <f>'МП пр.5'!G726</f>
        <v>95</v>
      </c>
      <c r="H85" s="187">
        <f>'МП пр.5'!H726</f>
        <v>95</v>
      </c>
      <c r="I85" s="187">
        <f t="shared" si="7"/>
        <v>0</v>
      </c>
      <c r="J85" s="189">
        <f t="shared" si="8"/>
        <v>100</v>
      </c>
      <c r="M85" s="68"/>
      <c r="N85" s="68"/>
      <c r="O85" s="68"/>
      <c r="P85" s="68"/>
      <c r="Q85" s="68"/>
      <c r="R85" s="68"/>
      <c r="S85" s="68"/>
      <c r="T85" s="68"/>
    </row>
    <row r="86" spans="1:20" s="58" customFormat="1" ht="51">
      <c r="A86" s="16" t="str">
        <f>'МП пр.5'!A654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86" s="19" t="s">
        <v>268</v>
      </c>
      <c r="C86" s="20" t="s">
        <v>62</v>
      </c>
      <c r="D86" s="20" t="s">
        <v>83</v>
      </c>
      <c r="E86" s="97" t="str">
        <f>'МП пр.5'!B654</f>
        <v>7L 0 00 00000</v>
      </c>
      <c r="F86" s="98"/>
      <c r="G86" s="187">
        <f>G87+G91</f>
        <v>44.5</v>
      </c>
      <c r="H86" s="187">
        <f>H87+H91</f>
        <v>44.5</v>
      </c>
      <c r="I86" s="187">
        <f t="shared" si="7"/>
        <v>0</v>
      </c>
      <c r="J86" s="189">
        <f t="shared" si="8"/>
        <v>100</v>
      </c>
      <c r="M86" s="70"/>
      <c r="N86" s="70"/>
      <c r="O86" s="70"/>
      <c r="P86" s="70"/>
      <c r="Q86" s="70"/>
      <c r="R86" s="70"/>
      <c r="S86" s="70"/>
      <c r="T86" s="70"/>
    </row>
    <row r="87" spans="1:20" ht="25.5">
      <c r="A87" s="16" t="str">
        <f>'МП пр.5'!A668</f>
        <v>Основное мероприятие "Содействие развитию институтов гражданского общества"</v>
      </c>
      <c r="B87" s="20" t="s">
        <v>268</v>
      </c>
      <c r="C87" s="20" t="s">
        <v>62</v>
      </c>
      <c r="D87" s="20" t="s">
        <v>83</v>
      </c>
      <c r="E87" s="97" t="str">
        <f>'МП пр.5'!B668</f>
        <v>7L 0 02 00000</v>
      </c>
      <c r="F87" s="98"/>
      <c r="G87" s="187">
        <f t="shared" ref="G87:H89" si="9">G88</f>
        <v>13.600000000000001</v>
      </c>
      <c r="H87" s="187">
        <f t="shared" si="9"/>
        <v>13.6</v>
      </c>
      <c r="I87" s="187">
        <f t="shared" si="7"/>
        <v>0</v>
      </c>
      <c r="J87" s="189">
        <f t="shared" si="8"/>
        <v>99.999999999999986</v>
      </c>
      <c r="M87" s="68"/>
      <c r="N87" s="68"/>
      <c r="O87" s="68"/>
      <c r="P87" s="68"/>
      <c r="Q87" s="68"/>
      <c r="R87" s="68"/>
      <c r="S87" s="68"/>
      <c r="T87" s="68"/>
    </row>
    <row r="88" spans="1:20" ht="25.5">
      <c r="A88" s="16" t="str">
        <f>'МП пр.5'!A669</f>
        <v>Организация участия представителей общественности в мероприятиях областного уровня</v>
      </c>
      <c r="B88" s="20" t="s">
        <v>268</v>
      </c>
      <c r="C88" s="20" t="s">
        <v>62</v>
      </c>
      <c r="D88" s="20" t="s">
        <v>83</v>
      </c>
      <c r="E88" s="97" t="str">
        <f>'МП пр.5'!B669</f>
        <v>7L 0 02 91800</v>
      </c>
      <c r="F88" s="98"/>
      <c r="G88" s="187">
        <f t="shared" si="9"/>
        <v>13.600000000000001</v>
      </c>
      <c r="H88" s="187">
        <f t="shared" si="9"/>
        <v>13.6</v>
      </c>
      <c r="I88" s="187">
        <f t="shared" si="7"/>
        <v>0</v>
      </c>
      <c r="J88" s="189">
        <f t="shared" si="8"/>
        <v>99.999999999999986</v>
      </c>
      <c r="M88" s="68"/>
      <c r="N88" s="68"/>
      <c r="O88" s="68"/>
      <c r="P88" s="68"/>
      <c r="Q88" s="68"/>
      <c r="R88" s="68"/>
      <c r="S88" s="68"/>
      <c r="T88" s="68"/>
    </row>
    <row r="89" spans="1:20" ht="51">
      <c r="A89" s="16" t="s">
        <v>90</v>
      </c>
      <c r="B89" s="20" t="s">
        <v>268</v>
      </c>
      <c r="C89" s="20" t="s">
        <v>62</v>
      </c>
      <c r="D89" s="20" t="s">
        <v>83</v>
      </c>
      <c r="E89" s="97" t="str">
        <f>E88</f>
        <v>7L 0 02 91800</v>
      </c>
      <c r="F89" s="97" t="s">
        <v>91</v>
      </c>
      <c r="G89" s="187">
        <f t="shared" si="9"/>
        <v>13.600000000000001</v>
      </c>
      <c r="H89" s="187">
        <f t="shared" si="9"/>
        <v>13.6</v>
      </c>
      <c r="I89" s="187">
        <f t="shared" si="7"/>
        <v>0</v>
      </c>
      <c r="J89" s="189">
        <f t="shared" si="8"/>
        <v>99.999999999999986</v>
      </c>
      <c r="M89" s="68"/>
      <c r="N89" s="68"/>
      <c r="O89" s="68"/>
      <c r="P89" s="68"/>
      <c r="Q89" s="68"/>
      <c r="R89" s="68"/>
      <c r="S89" s="68"/>
      <c r="T89" s="68"/>
    </row>
    <row r="90" spans="1:20" ht="25.5">
      <c r="A90" s="16" t="s">
        <v>87</v>
      </c>
      <c r="B90" s="20" t="s">
        <v>268</v>
      </c>
      <c r="C90" s="20" t="s">
        <v>62</v>
      </c>
      <c r="D90" s="20" t="s">
        <v>83</v>
      </c>
      <c r="E90" s="97" t="str">
        <f>E89</f>
        <v>7L 0 02 91800</v>
      </c>
      <c r="F90" s="98" t="s">
        <v>88</v>
      </c>
      <c r="G90" s="187">
        <f>'МП пр.5'!G674</f>
        <v>13.600000000000001</v>
      </c>
      <c r="H90" s="187">
        <f>'МП пр.5'!H674</f>
        <v>13.6</v>
      </c>
      <c r="I90" s="187">
        <f t="shared" si="7"/>
        <v>0</v>
      </c>
      <c r="J90" s="189">
        <f t="shared" si="8"/>
        <v>99.999999999999986</v>
      </c>
      <c r="M90" s="68"/>
      <c r="N90" s="68"/>
      <c r="O90" s="68"/>
      <c r="P90" s="68"/>
      <c r="Q90" s="68"/>
      <c r="R90" s="68"/>
      <c r="S90" s="68"/>
      <c r="T90" s="68"/>
    </row>
    <row r="91" spans="1:20" ht="25.5">
      <c r="A91" s="16" t="str">
        <f>'МП пр.5'!A675</f>
        <v>Основное мероприятие "Гармонизация межнациональных отношений"</v>
      </c>
      <c r="B91" s="20" t="s">
        <v>268</v>
      </c>
      <c r="C91" s="20" t="s">
        <v>62</v>
      </c>
      <c r="D91" s="20" t="s">
        <v>83</v>
      </c>
      <c r="E91" s="97" t="str">
        <f>'МП пр.5'!B675</f>
        <v>7L 0 03 00000</v>
      </c>
      <c r="F91" s="98"/>
      <c r="G91" s="187">
        <f>G92+G95</f>
        <v>30.9</v>
      </c>
      <c r="H91" s="187">
        <f>H92+H95</f>
        <v>30.9</v>
      </c>
      <c r="I91" s="187">
        <f t="shared" si="7"/>
        <v>0</v>
      </c>
      <c r="J91" s="189">
        <f t="shared" si="8"/>
        <v>100</v>
      </c>
      <c r="M91" s="68"/>
      <c r="N91" s="68"/>
      <c r="O91" s="68"/>
      <c r="P91" s="68"/>
      <c r="Q91" s="68"/>
      <c r="R91" s="68"/>
      <c r="S91" s="68"/>
      <c r="T91" s="68"/>
    </row>
    <row r="92" spans="1:20" ht="38.25">
      <c r="A92" s="16" t="str">
        <f>'МП пр.5'!A676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92" s="20" t="s">
        <v>268</v>
      </c>
      <c r="C92" s="20" t="s">
        <v>62</v>
      </c>
      <c r="D92" s="20" t="s">
        <v>83</v>
      </c>
      <c r="E92" s="97" t="str">
        <f>'МП пр.5'!B676</f>
        <v>7L 0 03 97100</v>
      </c>
      <c r="F92" s="98"/>
      <c r="G92" s="187">
        <f>G93</f>
        <v>20.9</v>
      </c>
      <c r="H92" s="187">
        <f>H93</f>
        <v>20.9</v>
      </c>
      <c r="I92" s="187">
        <f t="shared" si="7"/>
        <v>0</v>
      </c>
      <c r="J92" s="189">
        <f t="shared" si="8"/>
        <v>100</v>
      </c>
      <c r="M92" s="68"/>
      <c r="N92" s="68"/>
      <c r="O92" s="68"/>
      <c r="P92" s="68"/>
      <c r="Q92" s="68"/>
      <c r="R92" s="68"/>
      <c r="S92" s="68"/>
      <c r="T92" s="68"/>
    </row>
    <row r="93" spans="1:20" ht="51">
      <c r="A93" s="16" t="s">
        <v>90</v>
      </c>
      <c r="B93" s="20" t="s">
        <v>268</v>
      </c>
      <c r="C93" s="20" t="s">
        <v>62</v>
      </c>
      <c r="D93" s="20" t="s">
        <v>83</v>
      </c>
      <c r="E93" s="97" t="str">
        <f>E92</f>
        <v>7L 0 03 97100</v>
      </c>
      <c r="F93" s="97" t="s">
        <v>91</v>
      </c>
      <c r="G93" s="187">
        <f>G94</f>
        <v>20.9</v>
      </c>
      <c r="H93" s="187">
        <f>H94</f>
        <v>20.9</v>
      </c>
      <c r="I93" s="187">
        <f t="shared" si="7"/>
        <v>0</v>
      </c>
      <c r="J93" s="189">
        <f t="shared" si="8"/>
        <v>100</v>
      </c>
      <c r="M93" s="68"/>
      <c r="N93" s="68"/>
      <c r="O93" s="68"/>
      <c r="P93" s="68"/>
      <c r="Q93" s="68"/>
      <c r="R93" s="68"/>
      <c r="S93" s="68"/>
      <c r="T93" s="68"/>
    </row>
    <row r="94" spans="1:20" ht="25.5">
      <c r="A94" s="16" t="s">
        <v>87</v>
      </c>
      <c r="B94" s="20" t="s">
        <v>268</v>
      </c>
      <c r="C94" s="20" t="s">
        <v>62</v>
      </c>
      <c r="D94" s="20" t="s">
        <v>83</v>
      </c>
      <c r="E94" s="97" t="str">
        <f>E93</f>
        <v>7L 0 03 97100</v>
      </c>
      <c r="F94" s="98" t="s">
        <v>88</v>
      </c>
      <c r="G94" s="187">
        <f>'МП пр.5'!G681</f>
        <v>20.9</v>
      </c>
      <c r="H94" s="187">
        <f>'МП пр.5'!H681</f>
        <v>20.9</v>
      </c>
      <c r="I94" s="187">
        <f t="shared" si="7"/>
        <v>0</v>
      </c>
      <c r="J94" s="189">
        <f t="shared" si="8"/>
        <v>100</v>
      </c>
      <c r="M94" s="68"/>
      <c r="N94" s="68"/>
      <c r="O94" s="68"/>
      <c r="P94" s="68"/>
      <c r="Q94" s="68"/>
      <c r="R94" s="68"/>
      <c r="S94" s="68"/>
      <c r="T94" s="68"/>
    </row>
    <row r="95" spans="1:20" ht="38.25">
      <c r="A95" s="16" t="str">
        <f>'МП пр.5'!A682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95" s="20" t="s">
        <v>268</v>
      </c>
      <c r="C95" s="20" t="s">
        <v>62</v>
      </c>
      <c r="D95" s="20" t="s">
        <v>83</v>
      </c>
      <c r="E95" s="97" t="str">
        <f>'МП пр.5'!B682</f>
        <v>7L 0 03 97200</v>
      </c>
      <c r="F95" s="98"/>
      <c r="G95" s="187">
        <f>G96</f>
        <v>10</v>
      </c>
      <c r="H95" s="187">
        <f>H96</f>
        <v>10</v>
      </c>
      <c r="I95" s="187">
        <f t="shared" si="7"/>
        <v>0</v>
      </c>
      <c r="J95" s="189">
        <f t="shared" si="8"/>
        <v>100</v>
      </c>
      <c r="M95" s="68"/>
      <c r="N95" s="68"/>
      <c r="O95" s="68"/>
      <c r="P95" s="68"/>
      <c r="Q95" s="68"/>
      <c r="R95" s="68"/>
      <c r="S95" s="68"/>
      <c r="T95" s="68"/>
    </row>
    <row r="96" spans="1:20" ht="25.5">
      <c r="A96" s="16" t="s">
        <v>331</v>
      </c>
      <c r="B96" s="20" t="s">
        <v>268</v>
      </c>
      <c r="C96" s="20" t="s">
        <v>62</v>
      </c>
      <c r="D96" s="20" t="s">
        <v>83</v>
      </c>
      <c r="E96" s="97" t="str">
        <f>'МП пр.5'!B683</f>
        <v>7L 0 03 97200</v>
      </c>
      <c r="F96" s="97" t="s">
        <v>92</v>
      </c>
      <c r="G96" s="187">
        <f>G97</f>
        <v>10</v>
      </c>
      <c r="H96" s="187">
        <f>H97</f>
        <v>10</v>
      </c>
      <c r="I96" s="187">
        <f t="shared" si="7"/>
        <v>0</v>
      </c>
      <c r="J96" s="189">
        <f t="shared" si="8"/>
        <v>100</v>
      </c>
      <c r="M96" s="68"/>
      <c r="N96" s="68"/>
      <c r="O96" s="68"/>
      <c r="P96" s="68"/>
      <c r="Q96" s="68"/>
      <c r="R96" s="68"/>
      <c r="S96" s="68"/>
      <c r="T96" s="68"/>
    </row>
    <row r="97" spans="1:20" ht="25.5">
      <c r="A97" s="16" t="s">
        <v>556</v>
      </c>
      <c r="B97" s="20" t="s">
        <v>268</v>
      </c>
      <c r="C97" s="20" t="s">
        <v>62</v>
      </c>
      <c r="D97" s="20" t="s">
        <v>83</v>
      </c>
      <c r="E97" s="97" t="str">
        <f>'МП пр.5'!B684</f>
        <v>7L 0 03 97200</v>
      </c>
      <c r="F97" s="97" t="s">
        <v>89</v>
      </c>
      <c r="G97" s="187">
        <f>'МП пр.5'!G687</f>
        <v>10</v>
      </c>
      <c r="H97" s="187">
        <f>'МП пр.5'!H687</f>
        <v>10</v>
      </c>
      <c r="I97" s="187">
        <f t="shared" si="7"/>
        <v>0</v>
      </c>
      <c r="J97" s="189">
        <f t="shared" si="8"/>
        <v>100</v>
      </c>
      <c r="M97" s="68"/>
      <c r="N97" s="68"/>
      <c r="O97" s="68"/>
      <c r="P97" s="68"/>
      <c r="Q97" s="68"/>
      <c r="R97" s="68"/>
      <c r="S97" s="68"/>
      <c r="T97" s="68"/>
    </row>
    <row r="98" spans="1:20">
      <c r="A98" s="15" t="s">
        <v>195</v>
      </c>
      <c r="B98" s="31" t="s">
        <v>268</v>
      </c>
      <c r="C98" s="31" t="s">
        <v>63</v>
      </c>
      <c r="D98" s="31" t="s">
        <v>33</v>
      </c>
      <c r="E98" s="103"/>
      <c r="F98" s="101"/>
      <c r="G98" s="185">
        <f t="shared" ref="G98:H101" si="10">G99</f>
        <v>443.9</v>
      </c>
      <c r="H98" s="185">
        <f t="shared" si="10"/>
        <v>443.9</v>
      </c>
      <c r="I98" s="187">
        <f t="shared" si="7"/>
        <v>0</v>
      </c>
      <c r="J98" s="189">
        <f t="shared" si="8"/>
        <v>100</v>
      </c>
      <c r="M98" s="68"/>
      <c r="N98" s="68"/>
      <c r="O98" s="68"/>
      <c r="P98" s="68"/>
      <c r="Q98" s="68"/>
      <c r="R98" s="68"/>
      <c r="S98" s="68"/>
      <c r="T98" s="68"/>
    </row>
    <row r="99" spans="1:20">
      <c r="A99" s="15" t="s">
        <v>194</v>
      </c>
      <c r="B99" s="31" t="s">
        <v>268</v>
      </c>
      <c r="C99" s="31" t="s">
        <v>63</v>
      </c>
      <c r="D99" s="31" t="s">
        <v>66</v>
      </c>
      <c r="E99" s="103"/>
      <c r="F99" s="101"/>
      <c r="G99" s="187">
        <f t="shared" si="10"/>
        <v>443.9</v>
      </c>
      <c r="H99" s="187">
        <f t="shared" si="10"/>
        <v>443.9</v>
      </c>
      <c r="I99" s="187">
        <f t="shared" si="7"/>
        <v>0</v>
      </c>
      <c r="J99" s="189">
        <f t="shared" si="8"/>
        <v>100</v>
      </c>
      <c r="M99" s="68"/>
      <c r="N99" s="68"/>
      <c r="O99" s="68"/>
      <c r="P99" s="68"/>
      <c r="Q99" s="68"/>
      <c r="R99" s="68"/>
      <c r="S99" s="68"/>
      <c r="T99" s="68"/>
    </row>
    <row r="100" spans="1:20" ht="51">
      <c r="A100" s="151" t="s">
        <v>527</v>
      </c>
      <c r="B100" s="20" t="s">
        <v>268</v>
      </c>
      <c r="C100" s="20" t="s">
        <v>63</v>
      </c>
      <c r="D100" s="20" t="s">
        <v>66</v>
      </c>
      <c r="E100" s="97" t="s">
        <v>416</v>
      </c>
      <c r="F100" s="101"/>
      <c r="G100" s="187">
        <f t="shared" si="10"/>
        <v>443.9</v>
      </c>
      <c r="H100" s="187">
        <f t="shared" si="10"/>
        <v>443.9</v>
      </c>
      <c r="I100" s="187">
        <f t="shared" si="7"/>
        <v>0</v>
      </c>
      <c r="J100" s="189">
        <f t="shared" si="8"/>
        <v>100</v>
      </c>
      <c r="M100" s="68"/>
      <c r="N100" s="68"/>
      <c r="O100" s="68"/>
      <c r="P100" s="68"/>
      <c r="Q100" s="68"/>
      <c r="R100" s="68"/>
      <c r="S100" s="68"/>
      <c r="T100" s="68"/>
    </row>
    <row r="101" spans="1:20" ht="38.25">
      <c r="A101" s="16" t="s">
        <v>432</v>
      </c>
      <c r="B101" s="20" t="s">
        <v>268</v>
      </c>
      <c r="C101" s="20" t="s">
        <v>63</v>
      </c>
      <c r="D101" s="20" t="s">
        <v>66</v>
      </c>
      <c r="E101" s="97" t="s">
        <v>439</v>
      </c>
      <c r="F101" s="101"/>
      <c r="G101" s="187">
        <f t="shared" si="10"/>
        <v>443.9</v>
      </c>
      <c r="H101" s="187">
        <f t="shared" si="10"/>
        <v>443.9</v>
      </c>
      <c r="I101" s="187">
        <f t="shared" si="7"/>
        <v>0</v>
      </c>
      <c r="J101" s="189">
        <f t="shared" si="8"/>
        <v>100</v>
      </c>
      <c r="M101" s="68"/>
      <c r="N101" s="68"/>
      <c r="O101" s="68"/>
      <c r="P101" s="68"/>
      <c r="Q101" s="68"/>
      <c r="R101" s="68"/>
      <c r="S101" s="68"/>
      <c r="T101" s="68"/>
    </row>
    <row r="102" spans="1:20" ht="25.5">
      <c r="A102" s="16" t="s">
        <v>193</v>
      </c>
      <c r="B102" s="20" t="s">
        <v>268</v>
      </c>
      <c r="C102" s="20" t="s">
        <v>63</v>
      </c>
      <c r="D102" s="20" t="s">
        <v>66</v>
      </c>
      <c r="E102" s="97" t="s">
        <v>528</v>
      </c>
      <c r="F102" s="98"/>
      <c r="G102" s="187">
        <f>G104</f>
        <v>443.9</v>
      </c>
      <c r="H102" s="187">
        <f>H104</f>
        <v>443.9</v>
      </c>
      <c r="I102" s="187">
        <f t="shared" si="7"/>
        <v>0</v>
      </c>
      <c r="J102" s="189">
        <f t="shared" si="8"/>
        <v>100</v>
      </c>
      <c r="M102" s="68"/>
      <c r="N102" s="68"/>
      <c r="O102" s="68"/>
      <c r="P102" s="68"/>
      <c r="Q102" s="68"/>
      <c r="R102" s="68"/>
      <c r="S102" s="68"/>
      <c r="T102" s="68"/>
    </row>
    <row r="103" spans="1:20" ht="51">
      <c r="A103" s="16" t="s">
        <v>90</v>
      </c>
      <c r="B103" s="20" t="s">
        <v>268</v>
      </c>
      <c r="C103" s="20" t="s">
        <v>63</v>
      </c>
      <c r="D103" s="20" t="s">
        <v>66</v>
      </c>
      <c r="E103" s="97" t="s">
        <v>528</v>
      </c>
      <c r="F103" s="97" t="s">
        <v>91</v>
      </c>
      <c r="G103" s="187">
        <f>G104</f>
        <v>443.9</v>
      </c>
      <c r="H103" s="187">
        <f>H104</f>
        <v>443.9</v>
      </c>
      <c r="I103" s="187">
        <f t="shared" si="7"/>
        <v>0</v>
      </c>
      <c r="J103" s="189">
        <f t="shared" si="8"/>
        <v>100</v>
      </c>
      <c r="M103" s="68"/>
      <c r="N103" s="68"/>
      <c r="O103" s="68"/>
      <c r="P103" s="68"/>
      <c r="Q103" s="68"/>
      <c r="R103" s="68"/>
      <c r="S103" s="68"/>
      <c r="T103" s="68"/>
    </row>
    <row r="104" spans="1:20" ht="25.5">
      <c r="A104" s="16" t="s">
        <v>87</v>
      </c>
      <c r="B104" s="20" t="s">
        <v>268</v>
      </c>
      <c r="C104" s="20" t="s">
        <v>63</v>
      </c>
      <c r="D104" s="20" t="s">
        <v>66</v>
      </c>
      <c r="E104" s="97" t="s">
        <v>528</v>
      </c>
      <c r="F104" s="97" t="s">
        <v>88</v>
      </c>
      <c r="G104" s="187">
        <v>443.9</v>
      </c>
      <c r="H104" s="187">
        <f>344.2+99.7</f>
        <v>443.9</v>
      </c>
      <c r="I104" s="187">
        <f t="shared" si="7"/>
        <v>0</v>
      </c>
      <c r="J104" s="189">
        <f t="shared" si="8"/>
        <v>100</v>
      </c>
      <c r="M104" s="68"/>
      <c r="N104" s="68"/>
      <c r="O104" s="68"/>
      <c r="P104" s="68"/>
      <c r="Q104" s="68"/>
      <c r="R104" s="68"/>
      <c r="S104" s="68"/>
      <c r="T104" s="68"/>
    </row>
    <row r="105" spans="1:20" ht="25.5">
      <c r="A105" s="15" t="s">
        <v>4</v>
      </c>
      <c r="B105" s="31" t="s">
        <v>268</v>
      </c>
      <c r="C105" s="31" t="s">
        <v>66</v>
      </c>
      <c r="D105" s="31" t="s">
        <v>33</v>
      </c>
      <c r="E105" s="97"/>
      <c r="F105" s="97"/>
      <c r="G105" s="185">
        <f>G106</f>
        <v>13737</v>
      </c>
      <c r="H105" s="185">
        <f>H106</f>
        <v>13504.9</v>
      </c>
      <c r="I105" s="187">
        <f t="shared" si="7"/>
        <v>232.10000000000036</v>
      </c>
      <c r="J105" s="189">
        <f t="shared" si="8"/>
        <v>98.310402562422652</v>
      </c>
      <c r="M105" s="68"/>
      <c r="N105" s="68"/>
      <c r="O105" s="68"/>
      <c r="P105" s="68"/>
      <c r="Q105" s="68"/>
      <c r="R105" s="68"/>
      <c r="S105" s="68"/>
      <c r="T105" s="68"/>
    </row>
    <row r="106" spans="1:20" ht="25.5">
      <c r="A106" s="15" t="s">
        <v>76</v>
      </c>
      <c r="B106" s="31" t="s">
        <v>268</v>
      </c>
      <c r="C106" s="31" t="s">
        <v>66</v>
      </c>
      <c r="D106" s="31" t="s">
        <v>71</v>
      </c>
      <c r="E106" s="97"/>
      <c r="F106" s="97"/>
      <c r="G106" s="185">
        <f>G108+G113+G122</f>
        <v>13737</v>
      </c>
      <c r="H106" s="185">
        <f>H108+H113+H122</f>
        <v>13504.9</v>
      </c>
      <c r="I106" s="187">
        <f t="shared" si="7"/>
        <v>232.10000000000036</v>
      </c>
      <c r="J106" s="189">
        <f t="shared" si="8"/>
        <v>98.310402562422652</v>
      </c>
    </row>
    <row r="107" spans="1:20">
      <c r="A107" s="16" t="s">
        <v>430</v>
      </c>
      <c r="B107" s="20" t="s">
        <v>268</v>
      </c>
      <c r="C107" s="38" t="s">
        <v>66</v>
      </c>
      <c r="D107" s="38" t="s">
        <v>71</v>
      </c>
      <c r="E107" s="102" t="s">
        <v>431</v>
      </c>
      <c r="F107" s="97"/>
      <c r="G107" s="187">
        <f t="shared" ref="G107:H111" si="11">G108</f>
        <v>350</v>
      </c>
      <c r="H107" s="187">
        <f t="shared" si="11"/>
        <v>343.9</v>
      </c>
      <c r="I107" s="187">
        <f t="shared" si="7"/>
        <v>6.1000000000000227</v>
      </c>
      <c r="J107" s="189">
        <f t="shared" si="8"/>
        <v>98.257142857142853</v>
      </c>
    </row>
    <row r="108" spans="1:20" ht="51">
      <c r="A108" s="16" t="str">
        <f>'МП пр.5'!A576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v>
      </c>
      <c r="B108" s="20" t="s">
        <v>268</v>
      </c>
      <c r="C108" s="20" t="s">
        <v>66</v>
      </c>
      <c r="D108" s="20" t="s">
        <v>71</v>
      </c>
      <c r="E108" s="102" t="str">
        <f>'МП пр.5'!B576</f>
        <v xml:space="preserve">7Ч 0 00 00000 </v>
      </c>
      <c r="F108" s="98"/>
      <c r="G108" s="187">
        <f t="shared" si="11"/>
        <v>350</v>
      </c>
      <c r="H108" s="187">
        <f t="shared" si="11"/>
        <v>343.9</v>
      </c>
      <c r="I108" s="187">
        <f t="shared" si="7"/>
        <v>6.1000000000000227</v>
      </c>
      <c r="J108" s="189">
        <f t="shared" si="8"/>
        <v>98.257142857142853</v>
      </c>
    </row>
    <row r="109" spans="1:20" ht="51">
      <c r="A109" s="16" t="str">
        <f>'МП пр.5'!A577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09" s="20" t="s">
        <v>268</v>
      </c>
      <c r="C109" s="38" t="s">
        <v>66</v>
      </c>
      <c r="D109" s="38" t="s">
        <v>71</v>
      </c>
      <c r="E109" s="102" t="str">
        <f>'МП пр.5'!B577</f>
        <v xml:space="preserve">7Ч 0 01 00000 </v>
      </c>
      <c r="F109" s="98"/>
      <c r="G109" s="187">
        <f t="shared" si="11"/>
        <v>350</v>
      </c>
      <c r="H109" s="187">
        <f t="shared" si="11"/>
        <v>343.9</v>
      </c>
      <c r="I109" s="187">
        <f t="shared" si="7"/>
        <v>6.1000000000000227</v>
      </c>
      <c r="J109" s="189">
        <f t="shared" si="8"/>
        <v>98.257142857142853</v>
      </c>
    </row>
    <row r="110" spans="1:20" ht="25.5">
      <c r="A110" s="16" t="str">
        <f>'МП пр.5'!A578</f>
        <v xml:space="preserve">Приобретение технических средств и создание материального резерва в целях ликвидации чрезвычайных ситуаций </v>
      </c>
      <c r="B110" s="20" t="s">
        <v>268</v>
      </c>
      <c r="C110" s="38" t="s">
        <v>66</v>
      </c>
      <c r="D110" s="38" t="s">
        <v>71</v>
      </c>
      <c r="E110" s="102" t="str">
        <f>'МП пр.5'!B578</f>
        <v xml:space="preserve">7Ч 0 01 96400 </v>
      </c>
      <c r="F110" s="98"/>
      <c r="G110" s="187">
        <f t="shared" si="11"/>
        <v>350</v>
      </c>
      <c r="H110" s="187">
        <f t="shared" si="11"/>
        <v>343.9</v>
      </c>
      <c r="I110" s="187">
        <f t="shared" si="7"/>
        <v>6.1000000000000227</v>
      </c>
      <c r="J110" s="189">
        <f t="shared" si="8"/>
        <v>98.257142857142853</v>
      </c>
    </row>
    <row r="111" spans="1:20" ht="25.5">
      <c r="A111" s="16" t="s">
        <v>331</v>
      </c>
      <c r="B111" s="20" t="s">
        <v>268</v>
      </c>
      <c r="C111" s="38" t="s">
        <v>66</v>
      </c>
      <c r="D111" s="38" t="s">
        <v>71</v>
      </c>
      <c r="E111" s="102" t="str">
        <f>E110</f>
        <v xml:space="preserve">7Ч 0 01 96400 </v>
      </c>
      <c r="F111" s="98" t="s">
        <v>92</v>
      </c>
      <c r="G111" s="187">
        <f t="shared" si="11"/>
        <v>350</v>
      </c>
      <c r="H111" s="187">
        <f t="shared" si="11"/>
        <v>343.9</v>
      </c>
      <c r="I111" s="187">
        <f t="shared" si="7"/>
        <v>6.1000000000000227</v>
      </c>
      <c r="J111" s="189">
        <f t="shared" si="8"/>
        <v>98.257142857142853</v>
      </c>
    </row>
    <row r="112" spans="1:20" ht="25.5">
      <c r="A112" s="16" t="s">
        <v>556</v>
      </c>
      <c r="B112" s="20" t="s">
        <v>268</v>
      </c>
      <c r="C112" s="38" t="s">
        <v>66</v>
      </c>
      <c r="D112" s="38" t="s">
        <v>71</v>
      </c>
      <c r="E112" s="102" t="str">
        <f>E111</f>
        <v xml:space="preserve">7Ч 0 01 96400 </v>
      </c>
      <c r="F112" s="98" t="s">
        <v>89</v>
      </c>
      <c r="G112" s="187">
        <f>'МП пр.5'!G583</f>
        <v>350</v>
      </c>
      <c r="H112" s="187">
        <f>'МП пр.5'!H583</f>
        <v>343.9</v>
      </c>
      <c r="I112" s="187">
        <f t="shared" si="7"/>
        <v>6.1000000000000227</v>
      </c>
      <c r="J112" s="189">
        <f t="shared" si="8"/>
        <v>98.257142857142853</v>
      </c>
    </row>
    <row r="113" spans="1:10" ht="38.25">
      <c r="A113" s="16" t="s">
        <v>286</v>
      </c>
      <c r="B113" s="20" t="s">
        <v>268</v>
      </c>
      <c r="C113" s="20" t="s">
        <v>66</v>
      </c>
      <c r="D113" s="20" t="s">
        <v>71</v>
      </c>
      <c r="E113" s="102" t="s">
        <v>433</v>
      </c>
      <c r="F113" s="97"/>
      <c r="G113" s="187">
        <f>G114+G119</f>
        <v>8924.4</v>
      </c>
      <c r="H113" s="187">
        <f>H114+H119</f>
        <v>8698.4</v>
      </c>
      <c r="I113" s="187">
        <f t="shared" si="7"/>
        <v>226</v>
      </c>
      <c r="J113" s="189">
        <f t="shared" si="8"/>
        <v>97.467616870601944</v>
      </c>
    </row>
    <row r="114" spans="1:10" ht="25.5">
      <c r="A114" s="16" t="s">
        <v>265</v>
      </c>
      <c r="B114" s="20" t="s">
        <v>268</v>
      </c>
      <c r="C114" s="20" t="s">
        <v>66</v>
      </c>
      <c r="D114" s="20" t="s">
        <v>71</v>
      </c>
      <c r="E114" s="102" t="s">
        <v>434</v>
      </c>
      <c r="F114" s="97"/>
      <c r="G114" s="187">
        <f>G115+G117</f>
        <v>8794.4</v>
      </c>
      <c r="H114" s="187">
        <f>H115+H117</f>
        <v>8572.5</v>
      </c>
      <c r="I114" s="187">
        <f t="shared" si="7"/>
        <v>221.89999999999964</v>
      </c>
      <c r="J114" s="189">
        <f t="shared" si="8"/>
        <v>97.476803420358422</v>
      </c>
    </row>
    <row r="115" spans="1:10" ht="51">
      <c r="A115" s="16" t="s">
        <v>90</v>
      </c>
      <c r="B115" s="20" t="s">
        <v>268</v>
      </c>
      <c r="C115" s="20" t="s">
        <v>66</v>
      </c>
      <c r="D115" s="20" t="s">
        <v>71</v>
      </c>
      <c r="E115" s="102" t="s">
        <v>434</v>
      </c>
      <c r="F115" s="97" t="s">
        <v>91</v>
      </c>
      <c r="G115" s="187">
        <f>G116</f>
        <v>8547.4</v>
      </c>
      <c r="H115" s="187">
        <f>H116</f>
        <v>8368.5</v>
      </c>
      <c r="I115" s="187">
        <f t="shared" si="7"/>
        <v>178.89999999999964</v>
      </c>
      <c r="J115" s="189">
        <f t="shared" si="8"/>
        <v>97.906965860963567</v>
      </c>
    </row>
    <row r="116" spans="1:10">
      <c r="A116" s="16" t="s">
        <v>206</v>
      </c>
      <c r="B116" s="20" t="s">
        <v>268</v>
      </c>
      <c r="C116" s="20" t="s">
        <v>66</v>
      </c>
      <c r="D116" s="20" t="s">
        <v>71</v>
      </c>
      <c r="E116" s="102" t="s">
        <v>434</v>
      </c>
      <c r="F116" s="97" t="s">
        <v>207</v>
      </c>
      <c r="G116" s="187">
        <f>7447.4+1100</f>
        <v>8547.4</v>
      </c>
      <c r="H116" s="187">
        <f>6421.8+7.5+1939.2</f>
        <v>8368.5</v>
      </c>
      <c r="I116" s="187">
        <f t="shared" si="7"/>
        <v>178.89999999999964</v>
      </c>
      <c r="J116" s="189">
        <f t="shared" si="8"/>
        <v>97.906965860963567</v>
      </c>
    </row>
    <row r="117" spans="1:10" ht="25.5">
      <c r="A117" s="16" t="s">
        <v>331</v>
      </c>
      <c r="B117" s="20" t="s">
        <v>268</v>
      </c>
      <c r="C117" s="20" t="s">
        <v>66</v>
      </c>
      <c r="D117" s="20" t="s">
        <v>71</v>
      </c>
      <c r="E117" s="102" t="s">
        <v>434</v>
      </c>
      <c r="F117" s="97" t="s">
        <v>92</v>
      </c>
      <c r="G117" s="187">
        <f>G118</f>
        <v>247</v>
      </c>
      <c r="H117" s="187">
        <f>H118</f>
        <v>204</v>
      </c>
      <c r="I117" s="187">
        <f t="shared" si="7"/>
        <v>43</v>
      </c>
      <c r="J117" s="189">
        <f t="shared" si="8"/>
        <v>82.591093117408903</v>
      </c>
    </row>
    <row r="118" spans="1:10" ht="25.5">
      <c r="A118" s="16" t="s">
        <v>556</v>
      </c>
      <c r="B118" s="20" t="s">
        <v>268</v>
      </c>
      <c r="C118" s="20" t="s">
        <v>66</v>
      </c>
      <c r="D118" s="20" t="s">
        <v>71</v>
      </c>
      <c r="E118" s="102" t="s">
        <v>434</v>
      </c>
      <c r="F118" s="97" t="s">
        <v>89</v>
      </c>
      <c r="G118" s="187">
        <f>177+70</f>
        <v>247</v>
      </c>
      <c r="H118" s="187">
        <v>204</v>
      </c>
      <c r="I118" s="187">
        <f t="shared" si="7"/>
        <v>43</v>
      </c>
      <c r="J118" s="189">
        <f t="shared" si="8"/>
        <v>82.591093117408903</v>
      </c>
    </row>
    <row r="119" spans="1:10" ht="63.75">
      <c r="A119" s="16" t="s">
        <v>285</v>
      </c>
      <c r="B119" s="19" t="s">
        <v>268</v>
      </c>
      <c r="C119" s="20" t="s">
        <v>66</v>
      </c>
      <c r="D119" s="20" t="s">
        <v>71</v>
      </c>
      <c r="E119" s="102" t="s">
        <v>435</v>
      </c>
      <c r="F119" s="97"/>
      <c r="G119" s="187">
        <f>G120</f>
        <v>130</v>
      </c>
      <c r="H119" s="187">
        <f>H120</f>
        <v>125.9</v>
      </c>
      <c r="I119" s="187">
        <f t="shared" si="7"/>
        <v>4.0999999999999943</v>
      </c>
      <c r="J119" s="189">
        <f t="shared" si="8"/>
        <v>96.846153846153854</v>
      </c>
    </row>
    <row r="120" spans="1:10" ht="51">
      <c r="A120" s="16" t="s">
        <v>90</v>
      </c>
      <c r="B120" s="19" t="s">
        <v>268</v>
      </c>
      <c r="C120" s="20" t="s">
        <v>66</v>
      </c>
      <c r="D120" s="20" t="s">
        <v>71</v>
      </c>
      <c r="E120" s="102" t="s">
        <v>435</v>
      </c>
      <c r="F120" s="97" t="s">
        <v>91</v>
      </c>
      <c r="G120" s="187">
        <f>G121</f>
        <v>130</v>
      </c>
      <c r="H120" s="187">
        <f>H121</f>
        <v>125.9</v>
      </c>
      <c r="I120" s="187">
        <f t="shared" si="7"/>
        <v>4.0999999999999943</v>
      </c>
      <c r="J120" s="189">
        <f t="shared" si="8"/>
        <v>96.846153846153854</v>
      </c>
    </row>
    <row r="121" spans="1:10">
      <c r="A121" s="16" t="s">
        <v>206</v>
      </c>
      <c r="B121" s="19" t="s">
        <v>268</v>
      </c>
      <c r="C121" s="20" t="s">
        <v>66</v>
      </c>
      <c r="D121" s="20" t="s">
        <v>71</v>
      </c>
      <c r="E121" s="102" t="s">
        <v>435</v>
      </c>
      <c r="F121" s="97" t="s">
        <v>207</v>
      </c>
      <c r="G121" s="187">
        <f>200-70</f>
        <v>130</v>
      </c>
      <c r="H121" s="187">
        <v>125.9</v>
      </c>
      <c r="I121" s="187">
        <f t="shared" si="7"/>
        <v>4.0999999999999943</v>
      </c>
      <c r="J121" s="189">
        <f t="shared" si="8"/>
        <v>96.846153846153854</v>
      </c>
    </row>
    <row r="122" spans="1:10" ht="38.25">
      <c r="A122" s="28" t="s">
        <v>630</v>
      </c>
      <c r="B122" s="19" t="s">
        <v>268</v>
      </c>
      <c r="C122" s="19" t="s">
        <v>66</v>
      </c>
      <c r="D122" s="19" t="s">
        <v>71</v>
      </c>
      <c r="E122" s="20" t="s">
        <v>631</v>
      </c>
      <c r="F122" s="20"/>
      <c r="G122" s="187">
        <f>G123+G126</f>
        <v>4462.6000000000004</v>
      </c>
      <c r="H122" s="187">
        <f>H123+H126</f>
        <v>4462.6000000000004</v>
      </c>
      <c r="I122" s="187">
        <f t="shared" si="7"/>
        <v>0</v>
      </c>
      <c r="J122" s="189">
        <f t="shared" si="8"/>
        <v>100</v>
      </c>
    </row>
    <row r="123" spans="1:10" ht="51">
      <c r="A123" s="28" t="s">
        <v>632</v>
      </c>
      <c r="B123" s="19" t="s">
        <v>268</v>
      </c>
      <c r="C123" s="19" t="s">
        <v>66</v>
      </c>
      <c r="D123" s="19" t="s">
        <v>71</v>
      </c>
      <c r="E123" s="20" t="s">
        <v>633</v>
      </c>
      <c r="F123" s="31"/>
      <c r="G123" s="187">
        <f>G124</f>
        <v>4399</v>
      </c>
      <c r="H123" s="187">
        <f>H124</f>
        <v>4399</v>
      </c>
      <c r="I123" s="187">
        <f t="shared" si="7"/>
        <v>0</v>
      </c>
      <c r="J123" s="189">
        <f t="shared" si="8"/>
        <v>100</v>
      </c>
    </row>
    <row r="124" spans="1:10" ht="25.5">
      <c r="A124" s="28" t="s">
        <v>331</v>
      </c>
      <c r="B124" s="19" t="s">
        <v>268</v>
      </c>
      <c r="C124" s="19" t="s">
        <v>66</v>
      </c>
      <c r="D124" s="19" t="s">
        <v>71</v>
      </c>
      <c r="E124" s="20" t="s">
        <v>633</v>
      </c>
      <c r="F124" s="20" t="s">
        <v>92</v>
      </c>
      <c r="G124" s="187">
        <f>G125</f>
        <v>4399</v>
      </c>
      <c r="H124" s="187">
        <f>H125</f>
        <v>4399</v>
      </c>
      <c r="I124" s="187">
        <f t="shared" si="7"/>
        <v>0</v>
      </c>
      <c r="J124" s="189">
        <f t="shared" si="8"/>
        <v>100</v>
      </c>
    </row>
    <row r="125" spans="1:10" ht="25.5">
      <c r="A125" s="28" t="s">
        <v>562</v>
      </c>
      <c r="B125" s="19" t="s">
        <v>268</v>
      </c>
      <c r="C125" s="19" t="s">
        <v>66</v>
      </c>
      <c r="D125" s="19" t="s">
        <v>71</v>
      </c>
      <c r="E125" s="20" t="s">
        <v>633</v>
      </c>
      <c r="F125" s="20" t="s">
        <v>89</v>
      </c>
      <c r="G125" s="187">
        <v>4399</v>
      </c>
      <c r="H125" s="187">
        <v>4399</v>
      </c>
      <c r="I125" s="187">
        <f t="shared" si="7"/>
        <v>0</v>
      </c>
      <c r="J125" s="189">
        <f t="shared" si="8"/>
        <v>100</v>
      </c>
    </row>
    <row r="126" spans="1:10" ht="38.25">
      <c r="A126" s="28" t="s">
        <v>634</v>
      </c>
      <c r="B126" s="19" t="s">
        <v>268</v>
      </c>
      <c r="C126" s="19" t="s">
        <v>66</v>
      </c>
      <c r="D126" s="19" t="s">
        <v>71</v>
      </c>
      <c r="E126" s="20" t="s">
        <v>635</v>
      </c>
      <c r="F126" s="31"/>
      <c r="G126" s="187">
        <f>G127</f>
        <v>63.6</v>
      </c>
      <c r="H126" s="187">
        <f>H127</f>
        <v>63.6</v>
      </c>
      <c r="I126" s="187">
        <f t="shared" si="7"/>
        <v>0</v>
      </c>
      <c r="J126" s="189">
        <f t="shared" si="8"/>
        <v>100</v>
      </c>
    </row>
    <row r="127" spans="1:10" ht="25.5">
      <c r="A127" s="28" t="s">
        <v>331</v>
      </c>
      <c r="B127" s="19" t="s">
        <v>268</v>
      </c>
      <c r="C127" s="19" t="s">
        <v>66</v>
      </c>
      <c r="D127" s="19" t="s">
        <v>71</v>
      </c>
      <c r="E127" s="20" t="s">
        <v>635</v>
      </c>
      <c r="F127" s="20" t="s">
        <v>92</v>
      </c>
      <c r="G127" s="187">
        <f>G128</f>
        <v>63.6</v>
      </c>
      <c r="H127" s="187">
        <f>H128</f>
        <v>63.6</v>
      </c>
      <c r="I127" s="187">
        <f t="shared" si="7"/>
        <v>0</v>
      </c>
      <c r="J127" s="189">
        <f t="shared" si="8"/>
        <v>100</v>
      </c>
    </row>
    <row r="128" spans="1:10" ht="25.5">
      <c r="A128" s="28" t="s">
        <v>562</v>
      </c>
      <c r="B128" s="19" t="s">
        <v>268</v>
      </c>
      <c r="C128" s="19" t="s">
        <v>66</v>
      </c>
      <c r="D128" s="19" t="s">
        <v>71</v>
      </c>
      <c r="E128" s="20" t="s">
        <v>635</v>
      </c>
      <c r="F128" s="20" t="s">
        <v>89</v>
      </c>
      <c r="G128" s="187">
        <v>63.6</v>
      </c>
      <c r="H128" s="187">
        <v>63.6</v>
      </c>
      <c r="I128" s="187">
        <f t="shared" si="7"/>
        <v>0</v>
      </c>
      <c r="J128" s="189">
        <f t="shared" si="8"/>
        <v>100</v>
      </c>
    </row>
    <row r="129" spans="1:10">
      <c r="A129" s="15" t="s">
        <v>5</v>
      </c>
      <c r="B129" s="35" t="s">
        <v>268</v>
      </c>
      <c r="C129" s="35" t="s">
        <v>64</v>
      </c>
      <c r="D129" s="35" t="s">
        <v>33</v>
      </c>
      <c r="E129" s="100"/>
      <c r="F129" s="100"/>
      <c r="G129" s="185">
        <f>G130</f>
        <v>473.6</v>
      </c>
      <c r="H129" s="185">
        <f>H130</f>
        <v>429.5</v>
      </c>
      <c r="I129" s="187">
        <f t="shared" si="7"/>
        <v>44.100000000000023</v>
      </c>
      <c r="J129" s="189">
        <f t="shared" si="8"/>
        <v>90.688344594594597</v>
      </c>
    </row>
    <row r="130" spans="1:10">
      <c r="A130" s="15" t="s">
        <v>6</v>
      </c>
      <c r="B130" s="35" t="s">
        <v>268</v>
      </c>
      <c r="C130" s="31" t="s">
        <v>64</v>
      </c>
      <c r="D130" s="31" t="s">
        <v>74</v>
      </c>
      <c r="E130" s="103"/>
      <c r="F130" s="100"/>
      <c r="G130" s="185">
        <f>G132+G137</f>
        <v>473.6</v>
      </c>
      <c r="H130" s="185">
        <f>H132+H137</f>
        <v>429.5</v>
      </c>
      <c r="I130" s="187">
        <f t="shared" si="7"/>
        <v>44.100000000000023</v>
      </c>
      <c r="J130" s="189">
        <f t="shared" si="8"/>
        <v>90.688344594594597</v>
      </c>
    </row>
    <row r="131" spans="1:10">
      <c r="A131" s="16" t="s">
        <v>430</v>
      </c>
      <c r="B131" s="20" t="s">
        <v>268</v>
      </c>
      <c r="C131" s="20" t="s">
        <v>64</v>
      </c>
      <c r="D131" s="20" t="s">
        <v>74</v>
      </c>
      <c r="E131" s="102" t="s">
        <v>431</v>
      </c>
      <c r="F131" s="100"/>
      <c r="G131" s="187">
        <f>G132+G137</f>
        <v>473.6</v>
      </c>
      <c r="H131" s="187">
        <f>H132+H137</f>
        <v>429.5</v>
      </c>
      <c r="I131" s="187">
        <f t="shared" si="7"/>
        <v>44.100000000000023</v>
      </c>
      <c r="J131" s="189">
        <f t="shared" si="8"/>
        <v>90.688344594594597</v>
      </c>
    </row>
    <row r="132" spans="1:10" ht="38.25">
      <c r="A132" s="28" t="str">
        <f>'МП пр.5'!A170</f>
        <v>Муниципальная программа  "Развитие малого и среднего предпринимательства в Сусуманском городском округе  на 2018- 2022 годы"</v>
      </c>
      <c r="B132" s="19" t="s">
        <v>268</v>
      </c>
      <c r="C132" s="20" t="s">
        <v>64</v>
      </c>
      <c r="D132" s="20" t="s">
        <v>74</v>
      </c>
      <c r="E132" s="102" t="str">
        <f>'МП пр.5'!B170</f>
        <v xml:space="preserve">7И 0 00 00000 </v>
      </c>
      <c r="F132" s="97"/>
      <c r="G132" s="187">
        <f t="shared" ref="G132:H135" si="12">G133</f>
        <v>100</v>
      </c>
      <c r="H132" s="187">
        <f t="shared" si="12"/>
        <v>100</v>
      </c>
      <c r="I132" s="187">
        <f t="shared" si="7"/>
        <v>0</v>
      </c>
      <c r="J132" s="189">
        <f t="shared" si="8"/>
        <v>100</v>
      </c>
    </row>
    <row r="133" spans="1:10" ht="38.25">
      <c r="A133" s="28" t="str">
        <f>'МП пр.5'!A171</f>
        <v>Основное мероприятие "Обеспечение устойчивого развития малого и среднего предпринимательства, создание новых рабочих мест"</v>
      </c>
      <c r="B133" s="19" t="s">
        <v>268</v>
      </c>
      <c r="C133" s="20" t="s">
        <v>64</v>
      </c>
      <c r="D133" s="20" t="s">
        <v>74</v>
      </c>
      <c r="E133" s="102" t="str">
        <f>'МП пр.5'!B171</f>
        <v xml:space="preserve">7И 0 01 00000 </v>
      </c>
      <c r="F133" s="97"/>
      <c r="G133" s="187">
        <f t="shared" si="12"/>
        <v>100</v>
      </c>
      <c r="H133" s="187">
        <f t="shared" si="12"/>
        <v>100</v>
      </c>
      <c r="I133" s="187">
        <f t="shared" si="7"/>
        <v>0</v>
      </c>
      <c r="J133" s="189">
        <f t="shared" si="8"/>
        <v>100</v>
      </c>
    </row>
    <row r="134" spans="1:10" ht="25.5">
      <c r="A134" s="28" t="str">
        <f>'МП пр.5'!A172</f>
        <v xml:space="preserve">Финансовая поддержка субъектов малого и среднего предпринимательства </v>
      </c>
      <c r="B134" s="19" t="s">
        <v>268</v>
      </c>
      <c r="C134" s="20" t="s">
        <v>64</v>
      </c>
      <c r="D134" s="20" t="s">
        <v>74</v>
      </c>
      <c r="E134" s="102" t="str">
        <f>'МП пр.5'!B172</f>
        <v xml:space="preserve">7И 0 01 93360 </v>
      </c>
      <c r="F134" s="97"/>
      <c r="G134" s="187">
        <f t="shared" si="12"/>
        <v>100</v>
      </c>
      <c r="H134" s="187">
        <f t="shared" si="12"/>
        <v>100</v>
      </c>
      <c r="I134" s="187">
        <f t="shared" si="7"/>
        <v>0</v>
      </c>
      <c r="J134" s="189">
        <f t="shared" si="8"/>
        <v>100</v>
      </c>
    </row>
    <row r="135" spans="1:10">
      <c r="A135" s="16" t="s">
        <v>108</v>
      </c>
      <c r="B135" s="19" t="s">
        <v>268</v>
      </c>
      <c r="C135" s="20" t="s">
        <v>64</v>
      </c>
      <c r="D135" s="20" t="s">
        <v>74</v>
      </c>
      <c r="E135" s="102" t="str">
        <f>'МП пр.5'!B173</f>
        <v xml:space="preserve">7И 0 01 93360 </v>
      </c>
      <c r="F135" s="97" t="s">
        <v>109</v>
      </c>
      <c r="G135" s="187">
        <f t="shared" si="12"/>
        <v>100</v>
      </c>
      <c r="H135" s="187">
        <f t="shared" si="12"/>
        <v>100</v>
      </c>
      <c r="I135" s="187">
        <f t="shared" si="7"/>
        <v>0</v>
      </c>
      <c r="J135" s="189">
        <f t="shared" si="8"/>
        <v>100</v>
      </c>
    </row>
    <row r="136" spans="1:10" ht="38.25">
      <c r="A136" s="16" t="s">
        <v>133</v>
      </c>
      <c r="B136" s="19" t="s">
        <v>268</v>
      </c>
      <c r="C136" s="20" t="s">
        <v>64</v>
      </c>
      <c r="D136" s="20" t="s">
        <v>74</v>
      </c>
      <c r="E136" s="102" t="str">
        <f>'МП пр.5'!B174</f>
        <v xml:space="preserve">7И 0 01 93360 </v>
      </c>
      <c r="F136" s="97" t="s">
        <v>110</v>
      </c>
      <c r="G136" s="187">
        <f>'МП пр.5'!G177</f>
        <v>100</v>
      </c>
      <c r="H136" s="187">
        <f>'МП пр.5'!H177</f>
        <v>100</v>
      </c>
      <c r="I136" s="187">
        <f t="shared" si="7"/>
        <v>0</v>
      </c>
      <c r="J136" s="189">
        <f t="shared" si="8"/>
        <v>100</v>
      </c>
    </row>
    <row r="137" spans="1:10" ht="25.5">
      <c r="A137" s="16" t="str">
        <f>'МП пр.5'!A240</f>
        <v>Муниципальная программа "Развитие торговли  на территории Сусуманского городского округа на 2018- 2022 годы"</v>
      </c>
      <c r="B137" s="19" t="s">
        <v>268</v>
      </c>
      <c r="C137" s="20" t="s">
        <v>64</v>
      </c>
      <c r="D137" s="20" t="s">
        <v>74</v>
      </c>
      <c r="E137" s="102" t="str">
        <f>'МП пр.5'!B240</f>
        <v xml:space="preserve">7Н 0 00 00000 </v>
      </c>
      <c r="F137" s="97"/>
      <c r="G137" s="187">
        <f>G138</f>
        <v>373.6</v>
      </c>
      <c r="H137" s="187">
        <f>H138</f>
        <v>329.5</v>
      </c>
      <c r="I137" s="187">
        <f t="shared" si="7"/>
        <v>44.100000000000023</v>
      </c>
      <c r="J137" s="189">
        <f t="shared" si="8"/>
        <v>88.195931477516055</v>
      </c>
    </row>
    <row r="138" spans="1:10" ht="26.45" customHeight="1">
      <c r="A138" s="16" t="str">
        <f>'МП пр.5'!A241</f>
        <v>Основное мероприятие "Организация проведения областных универсальных совместных ярмарок товаров"</v>
      </c>
      <c r="B138" s="19" t="s">
        <v>268</v>
      </c>
      <c r="C138" s="20" t="s">
        <v>64</v>
      </c>
      <c r="D138" s="20" t="s">
        <v>74</v>
      </c>
      <c r="E138" s="102" t="str">
        <f>'МП пр.5'!B241</f>
        <v xml:space="preserve">7Н 0 01 00000 </v>
      </c>
      <c r="F138" s="97"/>
      <c r="G138" s="187">
        <f>G139+G142</f>
        <v>373.6</v>
      </c>
      <c r="H138" s="187">
        <f>H139+H142</f>
        <v>329.5</v>
      </c>
      <c r="I138" s="187">
        <f t="shared" si="7"/>
        <v>44.100000000000023</v>
      </c>
      <c r="J138" s="189">
        <f t="shared" si="8"/>
        <v>88.195931477516055</v>
      </c>
    </row>
    <row r="139" spans="1:10" s="162" customFormat="1" ht="25.5">
      <c r="A139" s="16" t="str">
        <f>'МП пр.5'!A242</f>
        <v>Мероприятия по организации и проведению областных универсальных совместных ярмарок</v>
      </c>
      <c r="B139" s="291" t="s">
        <v>268</v>
      </c>
      <c r="C139" s="38" t="s">
        <v>64</v>
      </c>
      <c r="D139" s="38" t="s">
        <v>74</v>
      </c>
      <c r="E139" s="292" t="str">
        <f>'МП пр.5'!B242</f>
        <v>7Н 0 01 73900</v>
      </c>
      <c r="F139" s="98"/>
      <c r="G139" s="59">
        <f>G140</f>
        <v>306</v>
      </c>
      <c r="H139" s="59">
        <f>H140</f>
        <v>261.89999999999998</v>
      </c>
      <c r="I139" s="187">
        <f t="shared" si="7"/>
        <v>44.100000000000023</v>
      </c>
      <c r="J139" s="189">
        <f t="shared" si="8"/>
        <v>85.588235294117638</v>
      </c>
    </row>
    <row r="140" spans="1:10" ht="25.5">
      <c r="A140" s="16" t="str">
        <f>'МП пр.5'!A245</f>
        <v>Закупка товаров, работ и услуг для обеспечения государственных (муниципальных) нужд</v>
      </c>
      <c r="B140" s="19" t="s">
        <v>268</v>
      </c>
      <c r="C140" s="20" t="s">
        <v>64</v>
      </c>
      <c r="D140" s="20" t="s">
        <v>74</v>
      </c>
      <c r="E140" s="102" t="str">
        <f>'МП пр.5'!B244</f>
        <v>7Н 0 01 73900</v>
      </c>
      <c r="F140" s="20" t="s">
        <v>92</v>
      </c>
      <c r="G140" s="187">
        <f>G141</f>
        <v>306</v>
      </c>
      <c r="H140" s="187">
        <f>H141</f>
        <v>261.89999999999998</v>
      </c>
      <c r="I140" s="187">
        <f t="shared" si="7"/>
        <v>44.100000000000023</v>
      </c>
      <c r="J140" s="189">
        <f t="shared" si="8"/>
        <v>85.588235294117638</v>
      </c>
    </row>
    <row r="141" spans="1:10" ht="25.5">
      <c r="A141" s="16" t="str">
        <f>'МП пр.5'!A246</f>
        <v>Иные закупки товаров, работ и услуг для обеспечения государственных (муниципальных) нужд</v>
      </c>
      <c r="B141" s="19" t="s">
        <v>268</v>
      </c>
      <c r="C141" s="20" t="s">
        <v>64</v>
      </c>
      <c r="D141" s="20" t="s">
        <v>74</v>
      </c>
      <c r="E141" s="102" t="str">
        <f>'МП пр.5'!B245</f>
        <v>7Н 0 01 73900</v>
      </c>
      <c r="F141" s="20" t="s">
        <v>89</v>
      </c>
      <c r="G141" s="187">
        <f>'МП пр.5'!G247</f>
        <v>306</v>
      </c>
      <c r="H141" s="187">
        <f>'МП пр.5'!H247</f>
        <v>261.89999999999998</v>
      </c>
      <c r="I141" s="187">
        <f t="shared" si="7"/>
        <v>44.100000000000023</v>
      </c>
      <c r="J141" s="189">
        <f t="shared" si="8"/>
        <v>85.588235294117638</v>
      </c>
    </row>
    <row r="142" spans="1:10" ht="38.25">
      <c r="A142" s="28" t="str">
        <f>'МП пр.5'!A248</f>
        <v>Мероприятия по организации и проведению областных универсальных совместных ярмарок за счет средств местного бюджета</v>
      </c>
      <c r="B142" s="19" t="s">
        <v>268</v>
      </c>
      <c r="C142" s="20" t="s">
        <v>64</v>
      </c>
      <c r="D142" s="20" t="s">
        <v>74</v>
      </c>
      <c r="E142" s="102" t="str">
        <f>'МП пр.5'!B248</f>
        <v xml:space="preserve">7Н 0 01 S3900 </v>
      </c>
      <c r="F142" s="97"/>
      <c r="G142" s="187">
        <f>G145+G143</f>
        <v>67.599999999999994</v>
      </c>
      <c r="H142" s="187">
        <f>H145+H143</f>
        <v>67.599999999999994</v>
      </c>
      <c r="I142" s="187">
        <f t="shared" si="7"/>
        <v>0</v>
      </c>
      <c r="J142" s="189">
        <f t="shared" si="8"/>
        <v>100</v>
      </c>
    </row>
    <row r="143" spans="1:10" ht="51">
      <c r="A143" s="16" t="s">
        <v>90</v>
      </c>
      <c r="B143" s="19" t="s">
        <v>268</v>
      </c>
      <c r="C143" s="20" t="s">
        <v>64</v>
      </c>
      <c r="D143" s="20" t="s">
        <v>74</v>
      </c>
      <c r="E143" s="102" t="s">
        <v>287</v>
      </c>
      <c r="F143" s="97" t="s">
        <v>91</v>
      </c>
      <c r="G143" s="187">
        <f>G144</f>
        <v>15</v>
      </c>
      <c r="H143" s="187">
        <f>H144</f>
        <v>15</v>
      </c>
      <c r="I143" s="187">
        <f t="shared" ref="I143:I206" si="13">G143-H143</f>
        <v>0</v>
      </c>
      <c r="J143" s="189">
        <f t="shared" ref="J143:J206" si="14">H143/G143*100</f>
        <v>100</v>
      </c>
    </row>
    <row r="144" spans="1:10" ht="25.5">
      <c r="A144" s="16" t="s">
        <v>87</v>
      </c>
      <c r="B144" s="19" t="s">
        <v>268</v>
      </c>
      <c r="C144" s="20" t="s">
        <v>64</v>
      </c>
      <c r="D144" s="20" t="s">
        <v>74</v>
      </c>
      <c r="E144" s="102" t="s">
        <v>287</v>
      </c>
      <c r="F144" s="97" t="s">
        <v>88</v>
      </c>
      <c r="G144" s="187">
        <f>'МП пр.5'!G253</f>
        <v>15</v>
      </c>
      <c r="H144" s="187">
        <f>'МП пр.5'!H253</f>
        <v>15</v>
      </c>
      <c r="I144" s="187">
        <f t="shared" si="13"/>
        <v>0</v>
      </c>
      <c r="J144" s="189">
        <f t="shared" si="14"/>
        <v>100</v>
      </c>
    </row>
    <row r="145" spans="1:10" ht="25.5">
      <c r="A145" s="16" t="s">
        <v>331</v>
      </c>
      <c r="B145" s="19" t="s">
        <v>268</v>
      </c>
      <c r="C145" s="20" t="s">
        <v>64</v>
      </c>
      <c r="D145" s="20" t="s">
        <v>74</v>
      </c>
      <c r="E145" s="102" t="s">
        <v>287</v>
      </c>
      <c r="F145" s="97" t="s">
        <v>92</v>
      </c>
      <c r="G145" s="187">
        <f>G146</f>
        <v>52.6</v>
      </c>
      <c r="H145" s="187">
        <f>H146</f>
        <v>52.6</v>
      </c>
      <c r="I145" s="187">
        <f t="shared" si="13"/>
        <v>0</v>
      </c>
      <c r="J145" s="189">
        <f t="shared" si="14"/>
        <v>100</v>
      </c>
    </row>
    <row r="146" spans="1:10" ht="25.5">
      <c r="A146" s="16" t="s">
        <v>556</v>
      </c>
      <c r="B146" s="19" t="s">
        <v>268</v>
      </c>
      <c r="C146" s="20" t="s">
        <v>64</v>
      </c>
      <c r="D146" s="20" t="s">
        <v>74</v>
      </c>
      <c r="E146" s="102" t="s">
        <v>287</v>
      </c>
      <c r="F146" s="97" t="s">
        <v>89</v>
      </c>
      <c r="G146" s="187">
        <f>'МП пр.5'!G256</f>
        <v>52.6</v>
      </c>
      <c r="H146" s="187">
        <f>'МП пр.5'!H256</f>
        <v>52.6</v>
      </c>
      <c r="I146" s="187">
        <f t="shared" si="13"/>
        <v>0</v>
      </c>
      <c r="J146" s="189">
        <f t="shared" si="14"/>
        <v>100</v>
      </c>
    </row>
    <row r="147" spans="1:10">
      <c r="A147" s="14" t="s">
        <v>126</v>
      </c>
      <c r="B147" s="35" t="s">
        <v>268</v>
      </c>
      <c r="C147" s="35" t="s">
        <v>68</v>
      </c>
      <c r="D147" s="35" t="s">
        <v>33</v>
      </c>
      <c r="E147" s="103"/>
      <c r="F147" s="100"/>
      <c r="G147" s="185">
        <f t="shared" ref="G147:H151" si="15">G148</f>
        <v>11.2</v>
      </c>
      <c r="H147" s="185">
        <f t="shared" si="15"/>
        <v>11.2</v>
      </c>
      <c r="I147" s="187">
        <f t="shared" si="13"/>
        <v>0</v>
      </c>
      <c r="J147" s="189">
        <f t="shared" si="14"/>
        <v>100</v>
      </c>
    </row>
    <row r="148" spans="1:10">
      <c r="A148" s="14" t="s">
        <v>125</v>
      </c>
      <c r="B148" s="35" t="s">
        <v>268</v>
      </c>
      <c r="C148" s="35" t="s">
        <v>68</v>
      </c>
      <c r="D148" s="35" t="s">
        <v>62</v>
      </c>
      <c r="E148" s="102"/>
      <c r="F148" s="97"/>
      <c r="G148" s="185">
        <f t="shared" si="15"/>
        <v>11.2</v>
      </c>
      <c r="H148" s="185">
        <f t="shared" si="15"/>
        <v>11.2</v>
      </c>
      <c r="I148" s="187">
        <f t="shared" si="13"/>
        <v>0</v>
      </c>
      <c r="J148" s="189">
        <f t="shared" si="14"/>
        <v>100</v>
      </c>
    </row>
    <row r="149" spans="1:10">
      <c r="A149" s="29" t="s">
        <v>168</v>
      </c>
      <c r="B149" s="19" t="s">
        <v>268</v>
      </c>
      <c r="C149" s="19" t="s">
        <v>68</v>
      </c>
      <c r="D149" s="19" t="s">
        <v>62</v>
      </c>
      <c r="E149" s="97" t="s">
        <v>436</v>
      </c>
      <c r="F149" s="97"/>
      <c r="G149" s="187">
        <f t="shared" si="15"/>
        <v>11.2</v>
      </c>
      <c r="H149" s="187">
        <f t="shared" si="15"/>
        <v>11.2</v>
      </c>
      <c r="I149" s="187">
        <f t="shared" si="13"/>
        <v>0</v>
      </c>
      <c r="J149" s="189">
        <f t="shared" si="14"/>
        <v>100</v>
      </c>
    </row>
    <row r="150" spans="1:10">
      <c r="A150" s="16" t="s">
        <v>199</v>
      </c>
      <c r="B150" s="19" t="s">
        <v>268</v>
      </c>
      <c r="C150" s="19" t="s">
        <v>68</v>
      </c>
      <c r="D150" s="19" t="s">
        <v>62</v>
      </c>
      <c r="E150" s="97" t="s">
        <v>437</v>
      </c>
      <c r="F150" s="97"/>
      <c r="G150" s="187">
        <f t="shared" si="15"/>
        <v>11.2</v>
      </c>
      <c r="H150" s="187">
        <f t="shared" si="15"/>
        <v>11.2</v>
      </c>
      <c r="I150" s="187">
        <f t="shared" si="13"/>
        <v>0</v>
      </c>
      <c r="J150" s="189">
        <f t="shared" si="14"/>
        <v>100</v>
      </c>
    </row>
    <row r="151" spans="1:10" ht="25.5">
      <c r="A151" s="16" t="s">
        <v>331</v>
      </c>
      <c r="B151" s="19" t="s">
        <v>268</v>
      </c>
      <c r="C151" s="19" t="s">
        <v>68</v>
      </c>
      <c r="D151" s="19" t="s">
        <v>62</v>
      </c>
      <c r="E151" s="97" t="s">
        <v>437</v>
      </c>
      <c r="F151" s="97" t="s">
        <v>92</v>
      </c>
      <c r="G151" s="187">
        <f t="shared" si="15"/>
        <v>11.2</v>
      </c>
      <c r="H151" s="187">
        <f t="shared" si="15"/>
        <v>11.2</v>
      </c>
      <c r="I151" s="187">
        <f t="shared" si="13"/>
        <v>0</v>
      </c>
      <c r="J151" s="189">
        <f t="shared" si="14"/>
        <v>100</v>
      </c>
    </row>
    <row r="152" spans="1:10" ht="25.5">
      <c r="A152" s="16" t="s">
        <v>556</v>
      </c>
      <c r="B152" s="19" t="s">
        <v>268</v>
      </c>
      <c r="C152" s="19" t="s">
        <v>68</v>
      </c>
      <c r="D152" s="19" t="s">
        <v>62</v>
      </c>
      <c r="E152" s="97" t="s">
        <v>437</v>
      </c>
      <c r="F152" s="97" t="s">
        <v>89</v>
      </c>
      <c r="G152" s="187">
        <f>10+1.2</f>
        <v>11.2</v>
      </c>
      <c r="H152" s="187">
        <v>11.2</v>
      </c>
      <c r="I152" s="187">
        <f t="shared" si="13"/>
        <v>0</v>
      </c>
      <c r="J152" s="189">
        <f t="shared" si="14"/>
        <v>100</v>
      </c>
    </row>
    <row r="153" spans="1:10">
      <c r="A153" s="15" t="s">
        <v>7</v>
      </c>
      <c r="B153" s="31" t="s">
        <v>268</v>
      </c>
      <c r="C153" s="40" t="s">
        <v>65</v>
      </c>
      <c r="D153" s="40" t="s">
        <v>33</v>
      </c>
      <c r="E153" s="103"/>
      <c r="F153" s="101"/>
      <c r="G153" s="185">
        <f t="shared" ref="G153:H159" si="16">G154</f>
        <v>2133.4</v>
      </c>
      <c r="H153" s="185">
        <f t="shared" si="16"/>
        <v>2133.4</v>
      </c>
      <c r="I153" s="187">
        <f t="shared" si="13"/>
        <v>0</v>
      </c>
      <c r="J153" s="189">
        <f t="shared" si="14"/>
        <v>100</v>
      </c>
    </row>
    <row r="154" spans="1:10">
      <c r="A154" s="15" t="s">
        <v>10</v>
      </c>
      <c r="B154" s="31" t="s">
        <v>268</v>
      </c>
      <c r="C154" s="40" t="s">
        <v>65</v>
      </c>
      <c r="D154" s="40" t="s">
        <v>71</v>
      </c>
      <c r="E154" s="103"/>
      <c r="F154" s="101"/>
      <c r="G154" s="187">
        <f>G156</f>
        <v>2133.4</v>
      </c>
      <c r="H154" s="187">
        <f>H156</f>
        <v>2133.4</v>
      </c>
      <c r="I154" s="187">
        <f t="shared" si="13"/>
        <v>0</v>
      </c>
      <c r="J154" s="189">
        <f t="shared" si="14"/>
        <v>100</v>
      </c>
    </row>
    <row r="155" spans="1:10">
      <c r="A155" s="16" t="s">
        <v>430</v>
      </c>
      <c r="B155" s="20" t="s">
        <v>268</v>
      </c>
      <c r="C155" s="20" t="s">
        <v>65</v>
      </c>
      <c r="D155" s="20" t="s">
        <v>71</v>
      </c>
      <c r="E155" s="102" t="s">
        <v>431</v>
      </c>
      <c r="F155" s="98"/>
      <c r="G155" s="187">
        <f>G156</f>
        <v>2133.4</v>
      </c>
      <c r="H155" s="187">
        <f>H156</f>
        <v>2133.4</v>
      </c>
      <c r="I155" s="187">
        <f t="shared" si="13"/>
        <v>0</v>
      </c>
      <c r="J155" s="189">
        <f t="shared" si="14"/>
        <v>100</v>
      </c>
    </row>
    <row r="156" spans="1:10" ht="25.5">
      <c r="A156" s="28" t="str">
        <f>'МП пр.5'!A384</f>
        <v>Муниципальная  программа  "Развитие образования в Сусуманском городском округе  на 2018- 2022 годы"</v>
      </c>
      <c r="B156" s="20" t="s">
        <v>268</v>
      </c>
      <c r="C156" s="20" t="s">
        <v>65</v>
      </c>
      <c r="D156" s="20" t="s">
        <v>71</v>
      </c>
      <c r="E156" s="97" t="str">
        <f>'МП пр.5'!B384</f>
        <v xml:space="preserve">7Р 0 00 00000 </v>
      </c>
      <c r="F156" s="97"/>
      <c r="G156" s="187">
        <f t="shared" si="16"/>
        <v>2133.4</v>
      </c>
      <c r="H156" s="187">
        <f t="shared" si="16"/>
        <v>2133.4</v>
      </c>
      <c r="I156" s="187">
        <f t="shared" si="13"/>
        <v>0</v>
      </c>
      <c r="J156" s="189">
        <f t="shared" si="14"/>
        <v>100</v>
      </c>
    </row>
    <row r="157" spans="1:10" ht="38.25">
      <c r="A157" s="16" t="str">
        <f>'МП пр.5'!A476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57" s="20" t="s">
        <v>268</v>
      </c>
      <c r="C157" s="20" t="s">
        <v>65</v>
      </c>
      <c r="D157" s="20" t="s">
        <v>71</v>
      </c>
      <c r="E157" s="97" t="str">
        <f>'МП пр.5'!B476</f>
        <v>7Р 0 03 00000</v>
      </c>
      <c r="F157" s="97"/>
      <c r="G157" s="187">
        <f t="shared" si="16"/>
        <v>2133.4</v>
      </c>
      <c r="H157" s="187">
        <f t="shared" si="16"/>
        <v>2133.4</v>
      </c>
      <c r="I157" s="187">
        <f t="shared" si="13"/>
        <v>0</v>
      </c>
      <c r="J157" s="189">
        <f t="shared" si="14"/>
        <v>100</v>
      </c>
    </row>
    <row r="158" spans="1:10" ht="38.25">
      <c r="A158" s="16" t="str">
        <f>'МП пр.5'!A477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58" s="20" t="s">
        <v>268</v>
      </c>
      <c r="C158" s="20" t="s">
        <v>65</v>
      </c>
      <c r="D158" s="20" t="s">
        <v>71</v>
      </c>
      <c r="E158" s="97" t="str">
        <f>'МП пр.5'!B477</f>
        <v>7Р 0 03 74020</v>
      </c>
      <c r="F158" s="97"/>
      <c r="G158" s="187">
        <f>G159+G161</f>
        <v>2133.4</v>
      </c>
      <c r="H158" s="187">
        <f>H159+H161</f>
        <v>2133.4</v>
      </c>
      <c r="I158" s="187">
        <f t="shared" si="13"/>
        <v>0</v>
      </c>
      <c r="J158" s="189">
        <f t="shared" si="14"/>
        <v>100</v>
      </c>
    </row>
    <row r="159" spans="1:10" ht="51">
      <c r="A159" s="16" t="s">
        <v>90</v>
      </c>
      <c r="B159" s="20" t="s">
        <v>268</v>
      </c>
      <c r="C159" s="20" t="s">
        <v>65</v>
      </c>
      <c r="D159" s="20" t="s">
        <v>71</v>
      </c>
      <c r="E159" s="97" t="s">
        <v>335</v>
      </c>
      <c r="F159" s="97" t="s">
        <v>91</v>
      </c>
      <c r="G159" s="187">
        <f t="shared" si="16"/>
        <v>1825</v>
      </c>
      <c r="H159" s="187">
        <f t="shared" si="16"/>
        <v>1825</v>
      </c>
      <c r="I159" s="187">
        <f t="shared" si="13"/>
        <v>0</v>
      </c>
      <c r="J159" s="189">
        <f t="shared" si="14"/>
        <v>100</v>
      </c>
    </row>
    <row r="160" spans="1:10" ht="25.5">
      <c r="A160" s="16" t="s">
        <v>87</v>
      </c>
      <c r="B160" s="20" t="s">
        <v>268</v>
      </c>
      <c r="C160" s="20" t="s">
        <v>65</v>
      </c>
      <c r="D160" s="20" t="s">
        <v>71</v>
      </c>
      <c r="E160" s="97" t="s">
        <v>335</v>
      </c>
      <c r="F160" s="97" t="s">
        <v>88</v>
      </c>
      <c r="G160" s="187">
        <f>'МП пр.5'!G482</f>
        <v>1825</v>
      </c>
      <c r="H160" s="187">
        <f>'МП пр.5'!H482</f>
        <v>1825</v>
      </c>
      <c r="I160" s="187">
        <f t="shared" si="13"/>
        <v>0</v>
      </c>
      <c r="J160" s="189">
        <f t="shared" si="14"/>
        <v>100</v>
      </c>
    </row>
    <row r="161" spans="1:10" ht="25.5">
      <c r="A161" s="16" t="s">
        <v>331</v>
      </c>
      <c r="B161" s="20" t="s">
        <v>268</v>
      </c>
      <c r="C161" s="20" t="s">
        <v>65</v>
      </c>
      <c r="D161" s="20" t="s">
        <v>71</v>
      </c>
      <c r="E161" s="97" t="s">
        <v>335</v>
      </c>
      <c r="F161" s="97" t="s">
        <v>92</v>
      </c>
      <c r="G161" s="187">
        <f>G162</f>
        <v>308.39999999999998</v>
      </c>
      <c r="H161" s="187">
        <f>H162</f>
        <v>308.39999999999998</v>
      </c>
      <c r="I161" s="187">
        <f t="shared" si="13"/>
        <v>0</v>
      </c>
      <c r="J161" s="189">
        <f t="shared" si="14"/>
        <v>100</v>
      </c>
    </row>
    <row r="162" spans="1:10" ht="25.5">
      <c r="A162" s="16" t="s">
        <v>556</v>
      </c>
      <c r="B162" s="20" t="s">
        <v>268</v>
      </c>
      <c r="C162" s="20" t="s">
        <v>65</v>
      </c>
      <c r="D162" s="20" t="s">
        <v>71</v>
      </c>
      <c r="E162" s="97" t="s">
        <v>335</v>
      </c>
      <c r="F162" s="121">
        <v>240</v>
      </c>
      <c r="G162" s="187">
        <f>'МП пр.5'!G485</f>
        <v>308.39999999999998</v>
      </c>
      <c r="H162" s="187">
        <f>'МП пр.5'!H485</f>
        <v>308.39999999999998</v>
      </c>
      <c r="I162" s="187">
        <f t="shared" si="13"/>
        <v>0</v>
      </c>
      <c r="J162" s="189">
        <f t="shared" si="14"/>
        <v>100</v>
      </c>
    </row>
    <row r="163" spans="1:10">
      <c r="A163" s="15" t="s">
        <v>58</v>
      </c>
      <c r="B163" s="31" t="s">
        <v>268</v>
      </c>
      <c r="C163" s="31" t="s">
        <v>67</v>
      </c>
      <c r="D163" s="31" t="s">
        <v>33</v>
      </c>
      <c r="E163" s="97"/>
      <c r="F163" s="97"/>
      <c r="G163" s="185">
        <f>G164+G169+G199</f>
        <v>47528.600000000006</v>
      </c>
      <c r="H163" s="185">
        <f>H164+H169+H199</f>
        <v>47156.800000000003</v>
      </c>
      <c r="I163" s="187">
        <f t="shared" si="13"/>
        <v>371.80000000000291</v>
      </c>
      <c r="J163" s="189">
        <f t="shared" si="14"/>
        <v>99.217734164271604</v>
      </c>
    </row>
    <row r="164" spans="1:10">
      <c r="A164" s="15" t="s">
        <v>54</v>
      </c>
      <c r="B164" s="31" t="s">
        <v>268</v>
      </c>
      <c r="C164" s="31" t="s">
        <v>67</v>
      </c>
      <c r="D164" s="31" t="s">
        <v>62</v>
      </c>
      <c r="E164" s="97"/>
      <c r="F164" s="97"/>
      <c r="G164" s="185">
        <f t="shared" ref="G164:H167" si="17">G165</f>
        <v>7952.5</v>
      </c>
      <c r="H164" s="185">
        <f t="shared" si="17"/>
        <v>7951.9</v>
      </c>
      <c r="I164" s="187">
        <f t="shared" si="13"/>
        <v>0.6000000000003638</v>
      </c>
      <c r="J164" s="189">
        <f t="shared" si="14"/>
        <v>99.992455202766422</v>
      </c>
    </row>
    <row r="165" spans="1:10">
      <c r="A165" s="16" t="s">
        <v>17</v>
      </c>
      <c r="B165" s="20" t="s">
        <v>268</v>
      </c>
      <c r="C165" s="20" t="s">
        <v>67</v>
      </c>
      <c r="D165" s="20" t="s">
        <v>62</v>
      </c>
      <c r="E165" s="97" t="s">
        <v>347</v>
      </c>
      <c r="F165" s="97"/>
      <c r="G165" s="187">
        <f t="shared" si="17"/>
        <v>7952.5</v>
      </c>
      <c r="H165" s="187">
        <f t="shared" si="17"/>
        <v>7951.9</v>
      </c>
      <c r="I165" s="187">
        <f t="shared" si="13"/>
        <v>0.6000000000003638</v>
      </c>
      <c r="J165" s="189">
        <f t="shared" si="14"/>
        <v>99.992455202766422</v>
      </c>
    </row>
    <row r="166" spans="1:10">
      <c r="A166" s="16" t="s">
        <v>570</v>
      </c>
      <c r="B166" s="20" t="s">
        <v>268</v>
      </c>
      <c r="C166" s="20" t="s">
        <v>67</v>
      </c>
      <c r="D166" s="20" t="s">
        <v>62</v>
      </c>
      <c r="E166" s="97" t="s">
        <v>571</v>
      </c>
      <c r="F166" s="97"/>
      <c r="G166" s="187">
        <f t="shared" si="17"/>
        <v>7952.5</v>
      </c>
      <c r="H166" s="187">
        <f t="shared" si="17"/>
        <v>7951.9</v>
      </c>
      <c r="I166" s="187">
        <f t="shared" si="13"/>
        <v>0.6000000000003638</v>
      </c>
      <c r="J166" s="189">
        <f t="shared" si="14"/>
        <v>99.992455202766422</v>
      </c>
    </row>
    <row r="167" spans="1:10">
      <c r="A167" s="16" t="s">
        <v>99</v>
      </c>
      <c r="B167" s="20" t="s">
        <v>268</v>
      </c>
      <c r="C167" s="20" t="s">
        <v>67</v>
      </c>
      <c r="D167" s="20" t="s">
        <v>62</v>
      </c>
      <c r="E167" s="97" t="s">
        <v>571</v>
      </c>
      <c r="F167" s="97" t="s">
        <v>100</v>
      </c>
      <c r="G167" s="187">
        <f t="shared" si="17"/>
        <v>7952.5</v>
      </c>
      <c r="H167" s="187">
        <f t="shared" si="17"/>
        <v>7951.9</v>
      </c>
      <c r="I167" s="187">
        <f t="shared" si="13"/>
        <v>0.6000000000003638</v>
      </c>
      <c r="J167" s="189">
        <f t="shared" si="14"/>
        <v>99.992455202766422</v>
      </c>
    </row>
    <row r="168" spans="1:10">
      <c r="A168" s="16" t="s">
        <v>101</v>
      </c>
      <c r="B168" s="20" t="s">
        <v>268</v>
      </c>
      <c r="C168" s="20" t="s">
        <v>67</v>
      </c>
      <c r="D168" s="20" t="s">
        <v>62</v>
      </c>
      <c r="E168" s="97" t="s">
        <v>571</v>
      </c>
      <c r="F168" s="97" t="s">
        <v>102</v>
      </c>
      <c r="G168" s="187">
        <f>5461.5+2414+77</f>
        <v>7952.5</v>
      </c>
      <c r="H168" s="187">
        <v>7951.9</v>
      </c>
      <c r="I168" s="187">
        <f t="shared" si="13"/>
        <v>0.6000000000003638</v>
      </c>
      <c r="J168" s="189">
        <f t="shared" si="14"/>
        <v>99.992455202766422</v>
      </c>
    </row>
    <row r="169" spans="1:10">
      <c r="A169" s="23" t="s">
        <v>57</v>
      </c>
      <c r="B169" s="31" t="s">
        <v>268</v>
      </c>
      <c r="C169" s="35" t="s">
        <v>67</v>
      </c>
      <c r="D169" s="35" t="s">
        <v>66</v>
      </c>
      <c r="E169" s="102"/>
      <c r="F169" s="102"/>
      <c r="G169" s="17">
        <f>G170+G195</f>
        <v>36134.300000000003</v>
      </c>
      <c r="H169" s="17">
        <f>H170+H195</f>
        <v>36115.800000000003</v>
      </c>
      <c r="I169" s="187">
        <f t="shared" si="13"/>
        <v>18.5</v>
      </c>
      <c r="J169" s="189">
        <f t="shared" si="14"/>
        <v>99.948802107692686</v>
      </c>
    </row>
    <row r="170" spans="1:10">
      <c r="A170" s="16" t="s">
        <v>430</v>
      </c>
      <c r="B170" s="20" t="s">
        <v>268</v>
      </c>
      <c r="C170" s="20" t="s">
        <v>67</v>
      </c>
      <c r="D170" s="20" t="s">
        <v>66</v>
      </c>
      <c r="E170" s="102" t="s">
        <v>431</v>
      </c>
      <c r="F170" s="102"/>
      <c r="G170" s="18">
        <f>G171+G179</f>
        <v>29940</v>
      </c>
      <c r="H170" s="18">
        <f>H171+H179</f>
        <v>29921.5</v>
      </c>
      <c r="I170" s="187">
        <f t="shared" si="13"/>
        <v>18.5</v>
      </c>
      <c r="J170" s="189">
        <f t="shared" si="14"/>
        <v>99.938209752839015</v>
      </c>
    </row>
    <row r="171" spans="1:10" ht="25.5">
      <c r="A171" s="16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171" s="20" t="s">
        <v>268</v>
      </c>
      <c r="C171" s="20" t="s">
        <v>67</v>
      </c>
      <c r="D171" s="20" t="s">
        <v>66</v>
      </c>
      <c r="E171" s="102" t="str">
        <f>'МП пр.5'!B45</f>
        <v xml:space="preserve">7В 0 00 00000 </v>
      </c>
      <c r="F171" s="98"/>
      <c r="G171" s="187">
        <f>G172</f>
        <v>117.19999999999999</v>
      </c>
      <c r="H171" s="187">
        <f>H172</f>
        <v>102.10000000000001</v>
      </c>
      <c r="I171" s="187">
        <f t="shared" si="13"/>
        <v>15.09999999999998</v>
      </c>
      <c r="J171" s="189">
        <f t="shared" si="14"/>
        <v>87.116040955631419</v>
      </c>
    </row>
    <row r="172" spans="1:10" ht="38.25">
      <c r="A172" s="16" t="str">
        <f>'МП пр.5'!A56</f>
        <v>Основное мероприятие "Реализация мероприятий по оказанию адресной помощи ветеранам Великой Отечественной войны 1941- 1945 годов"</v>
      </c>
      <c r="B172" s="20" t="s">
        <v>268</v>
      </c>
      <c r="C172" s="20" t="s">
        <v>67</v>
      </c>
      <c r="D172" s="20" t="s">
        <v>66</v>
      </c>
      <c r="E172" s="102" t="str">
        <f>'МП пр.5'!B56</f>
        <v>7В 0 02 00000</v>
      </c>
      <c r="F172" s="98"/>
      <c r="G172" s="187">
        <f>G173+G176</f>
        <v>117.19999999999999</v>
      </c>
      <c r="H172" s="187">
        <f>H173+H176</f>
        <v>102.10000000000001</v>
      </c>
      <c r="I172" s="187">
        <f t="shared" si="13"/>
        <v>15.09999999999998</v>
      </c>
      <c r="J172" s="189">
        <f t="shared" si="14"/>
        <v>87.116040955631419</v>
      </c>
    </row>
    <row r="173" spans="1:10">
      <c r="A173" s="16" t="str">
        <f>'МП пр.5'!A57</f>
        <v>Оказание материальной помощи, единовременной выплаты</v>
      </c>
      <c r="B173" s="20" t="s">
        <v>268</v>
      </c>
      <c r="C173" s="20" t="s">
        <v>67</v>
      </c>
      <c r="D173" s="20" t="s">
        <v>66</v>
      </c>
      <c r="E173" s="102" t="str">
        <f>'МП пр.5'!B57</f>
        <v>7В 0 02 91200</v>
      </c>
      <c r="F173" s="98"/>
      <c r="G173" s="187">
        <f>G174</f>
        <v>27.6</v>
      </c>
      <c r="H173" s="187">
        <f>H174</f>
        <v>20.7</v>
      </c>
      <c r="I173" s="187">
        <f t="shared" si="13"/>
        <v>6.9000000000000021</v>
      </c>
      <c r="J173" s="189">
        <f t="shared" si="14"/>
        <v>74.999999999999986</v>
      </c>
    </row>
    <row r="174" spans="1:10">
      <c r="A174" s="16" t="s">
        <v>99</v>
      </c>
      <c r="B174" s="20" t="s">
        <v>268</v>
      </c>
      <c r="C174" s="20" t="s">
        <v>67</v>
      </c>
      <c r="D174" s="20" t="s">
        <v>66</v>
      </c>
      <c r="E174" s="102" t="str">
        <f>'МП пр.5'!B58</f>
        <v>7В 0 02 91200</v>
      </c>
      <c r="F174" s="38" t="s">
        <v>100</v>
      </c>
      <c r="G174" s="187">
        <f>G175</f>
        <v>27.6</v>
      </c>
      <c r="H174" s="187">
        <f>H175</f>
        <v>20.7</v>
      </c>
      <c r="I174" s="187">
        <f t="shared" si="13"/>
        <v>6.9000000000000021</v>
      </c>
      <c r="J174" s="189">
        <f t="shared" si="14"/>
        <v>74.999999999999986</v>
      </c>
    </row>
    <row r="175" spans="1:10">
      <c r="A175" s="16" t="str">
        <f>'МП пр.5'!A67</f>
        <v>Иные выплаты населению</v>
      </c>
      <c r="B175" s="20" t="s">
        <v>268</v>
      </c>
      <c r="C175" s="20" t="s">
        <v>67</v>
      </c>
      <c r="D175" s="20" t="s">
        <v>66</v>
      </c>
      <c r="E175" s="102" t="str">
        <f>'МП пр.5'!B59</f>
        <v>7В 0 02 91200</v>
      </c>
      <c r="F175" s="38" t="s">
        <v>104</v>
      </c>
      <c r="G175" s="187">
        <f>'МП пр.5'!G62</f>
        <v>27.6</v>
      </c>
      <c r="H175" s="187">
        <f>'МП пр.5'!H62</f>
        <v>20.7</v>
      </c>
      <c r="I175" s="187">
        <f t="shared" si="13"/>
        <v>6.9000000000000021</v>
      </c>
      <c r="J175" s="189">
        <f t="shared" si="14"/>
        <v>74.999999999999986</v>
      </c>
    </row>
    <row r="176" spans="1:10" ht="25.5">
      <c r="A176" s="16" t="str">
        <f>'МП пр.5'!A63</f>
        <v>Предоставление льготы по оплате жилищно- коммунальных услуг</v>
      </c>
      <c r="B176" s="20" t="s">
        <v>268</v>
      </c>
      <c r="C176" s="20" t="s">
        <v>67</v>
      </c>
      <c r="D176" s="20" t="s">
        <v>66</v>
      </c>
      <c r="E176" s="102" t="str">
        <f>'МП пр.5'!B64</f>
        <v>7В 0 02 91410</v>
      </c>
      <c r="F176" s="19"/>
      <c r="G176" s="18">
        <f>G177</f>
        <v>89.6</v>
      </c>
      <c r="H176" s="18">
        <f>H177</f>
        <v>81.400000000000006</v>
      </c>
      <c r="I176" s="187">
        <f t="shared" si="13"/>
        <v>8.1999999999999886</v>
      </c>
      <c r="J176" s="189">
        <f t="shared" si="14"/>
        <v>90.848214285714306</v>
      </c>
    </row>
    <row r="177" spans="1:10">
      <c r="A177" s="16" t="s">
        <v>99</v>
      </c>
      <c r="B177" s="20" t="s">
        <v>268</v>
      </c>
      <c r="C177" s="20" t="s">
        <v>67</v>
      </c>
      <c r="D177" s="20" t="s">
        <v>66</v>
      </c>
      <c r="E177" s="102" t="str">
        <f>'МП пр.5'!B65</f>
        <v>7В 0 02 91410</v>
      </c>
      <c r="F177" s="38">
        <v>300</v>
      </c>
      <c r="G177" s="18">
        <f>G178</f>
        <v>89.6</v>
      </c>
      <c r="H177" s="18">
        <f>H178</f>
        <v>81.400000000000006</v>
      </c>
      <c r="I177" s="187">
        <f t="shared" si="13"/>
        <v>8.1999999999999886</v>
      </c>
      <c r="J177" s="189">
        <f t="shared" si="14"/>
        <v>90.848214285714306</v>
      </c>
    </row>
    <row r="178" spans="1:10">
      <c r="A178" s="16" t="str">
        <f>'МП пр.5'!A67</f>
        <v>Иные выплаты населению</v>
      </c>
      <c r="B178" s="20" t="s">
        <v>268</v>
      </c>
      <c r="C178" s="20" t="s">
        <v>67</v>
      </c>
      <c r="D178" s="20" t="s">
        <v>66</v>
      </c>
      <c r="E178" s="102" t="str">
        <f>'МП пр.5'!B66</f>
        <v>7В 0 02 91410</v>
      </c>
      <c r="F178" s="38" t="str">
        <f>'[2]МП пр.5'!E64</f>
        <v>360</v>
      </c>
      <c r="G178" s="18">
        <f>'МП пр.5'!G68</f>
        <v>89.6</v>
      </c>
      <c r="H178" s="18">
        <f>'МП пр.5'!H68</f>
        <v>81.400000000000006</v>
      </c>
      <c r="I178" s="187">
        <f t="shared" si="13"/>
        <v>8.1999999999999886</v>
      </c>
      <c r="J178" s="189">
        <f t="shared" si="14"/>
        <v>90.848214285714306</v>
      </c>
    </row>
    <row r="179" spans="1:10" ht="51">
      <c r="A179" s="16" t="str">
        <f>'МП пр.5'!A69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179" s="19" t="s">
        <v>268</v>
      </c>
      <c r="C179" s="19" t="s">
        <v>67</v>
      </c>
      <c r="D179" s="19" t="s">
        <v>66</v>
      </c>
      <c r="E179" s="97" t="str">
        <f>'МП пр.5'!B69</f>
        <v xml:space="preserve">7Г 0 00 00000 </v>
      </c>
      <c r="F179" s="97"/>
      <c r="G179" s="187">
        <f>G184+G180</f>
        <v>29822.799999999999</v>
      </c>
      <c r="H179" s="187">
        <f>H184+H180</f>
        <v>29819.4</v>
      </c>
      <c r="I179" s="187">
        <f t="shared" si="13"/>
        <v>3.3999999999978172</v>
      </c>
      <c r="J179" s="189">
        <f t="shared" si="14"/>
        <v>99.988599326689652</v>
      </c>
    </row>
    <row r="180" spans="1:10" ht="25.5">
      <c r="A180" s="28" t="str">
        <f>'МП пр.5'!A70</f>
        <v>Основное мероприятие "Оптимизация системы расселения в Сусуманском городском округе"</v>
      </c>
      <c r="B180" s="19" t="s">
        <v>268</v>
      </c>
      <c r="C180" s="19" t="s">
        <v>67</v>
      </c>
      <c r="D180" s="19" t="s">
        <v>66</v>
      </c>
      <c r="E180" s="102" t="str">
        <f>'МП пр.5'!B70</f>
        <v xml:space="preserve">7Г 0 01 00000 </v>
      </c>
      <c r="F180" s="97"/>
      <c r="G180" s="187">
        <f t="shared" ref="G180:H182" si="18">G181</f>
        <v>857.9</v>
      </c>
      <c r="H180" s="187">
        <f t="shared" si="18"/>
        <v>857.8</v>
      </c>
      <c r="I180" s="187">
        <f t="shared" si="13"/>
        <v>0.10000000000002274</v>
      </c>
      <c r="J180" s="189">
        <f t="shared" si="14"/>
        <v>99.988343629793675</v>
      </c>
    </row>
    <row r="181" spans="1:10">
      <c r="A181" s="16" t="str">
        <f>'МП пр.5'!A71</f>
        <v xml:space="preserve">Оптимизация жилищного фонда в виде расселения </v>
      </c>
      <c r="B181" s="19" t="s">
        <v>268</v>
      </c>
      <c r="C181" s="19" t="s">
        <v>67</v>
      </c>
      <c r="D181" s="19" t="s">
        <v>66</v>
      </c>
      <c r="E181" s="102" t="str">
        <f>'МП пр.5'!B78</f>
        <v xml:space="preserve">7Г 0 01 96610 </v>
      </c>
      <c r="F181" s="97"/>
      <c r="G181" s="59">
        <f t="shared" si="18"/>
        <v>857.9</v>
      </c>
      <c r="H181" s="59">
        <f t="shared" si="18"/>
        <v>857.8</v>
      </c>
      <c r="I181" s="187">
        <f t="shared" si="13"/>
        <v>0.10000000000002274</v>
      </c>
      <c r="J181" s="189">
        <f t="shared" si="14"/>
        <v>99.988343629793675</v>
      </c>
    </row>
    <row r="182" spans="1:10">
      <c r="A182" s="16" t="s">
        <v>108</v>
      </c>
      <c r="B182" s="19" t="s">
        <v>268</v>
      </c>
      <c r="C182" s="19" t="s">
        <v>67</v>
      </c>
      <c r="D182" s="19" t="s">
        <v>66</v>
      </c>
      <c r="E182" s="102" t="str">
        <f>'МП пр.5'!B79</f>
        <v xml:space="preserve">7Г 0 01 96610 </v>
      </c>
      <c r="F182" s="20" t="s">
        <v>109</v>
      </c>
      <c r="G182" s="59">
        <f t="shared" si="18"/>
        <v>857.9</v>
      </c>
      <c r="H182" s="59">
        <f t="shared" si="18"/>
        <v>857.8</v>
      </c>
      <c r="I182" s="187">
        <f t="shared" si="13"/>
        <v>0.10000000000002274</v>
      </c>
      <c r="J182" s="189">
        <f t="shared" si="14"/>
        <v>99.988343629793675</v>
      </c>
    </row>
    <row r="183" spans="1:10">
      <c r="A183" s="16" t="s">
        <v>111</v>
      </c>
      <c r="B183" s="19" t="s">
        <v>268</v>
      </c>
      <c r="C183" s="19" t="s">
        <v>67</v>
      </c>
      <c r="D183" s="19" t="s">
        <v>66</v>
      </c>
      <c r="E183" s="102" t="s">
        <v>326</v>
      </c>
      <c r="F183" s="20" t="s">
        <v>112</v>
      </c>
      <c r="G183" s="59">
        <f>'МП пр.5'!G81</f>
        <v>857.9</v>
      </c>
      <c r="H183" s="59">
        <f>'МП пр.5'!H81</f>
        <v>857.8</v>
      </c>
      <c r="I183" s="187">
        <f t="shared" si="13"/>
        <v>0.10000000000002274</v>
      </c>
      <c r="J183" s="189">
        <f t="shared" si="14"/>
        <v>99.988343629793675</v>
      </c>
    </row>
    <row r="184" spans="1:10" ht="51">
      <c r="A184" s="28" t="str">
        <f>'МП пр.5'!A82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184" s="19" t="s">
        <v>268</v>
      </c>
      <c r="C184" s="19" t="s">
        <v>67</v>
      </c>
      <c r="D184" s="19" t="s">
        <v>66</v>
      </c>
      <c r="E184" s="97" t="str">
        <f>'МП пр.5'!B82</f>
        <v xml:space="preserve">7Г 0 F3 00000 </v>
      </c>
      <c r="F184" s="97"/>
      <c r="G184" s="187">
        <f>G185+G190</f>
        <v>28964.899999999998</v>
      </c>
      <c r="H184" s="187">
        <f>H185+H190</f>
        <v>28961.600000000002</v>
      </c>
      <c r="I184" s="187">
        <f t="shared" si="13"/>
        <v>3.2999999999956344</v>
      </c>
      <c r="J184" s="189">
        <f t="shared" si="14"/>
        <v>99.988606900075624</v>
      </c>
    </row>
    <row r="185" spans="1:10" ht="51">
      <c r="A185" s="28" t="str">
        <f>'МП пр.5'!A83</f>
        <v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v>
      </c>
      <c r="B185" s="19" t="s">
        <v>268</v>
      </c>
      <c r="C185" s="19" t="s">
        <v>67</v>
      </c>
      <c r="D185" s="19" t="s">
        <v>66</v>
      </c>
      <c r="E185" s="97" t="str">
        <f>'МП пр.5'!B83</f>
        <v>7Г 0 F3 67483</v>
      </c>
      <c r="F185" s="97"/>
      <c r="G185" s="187">
        <f>G186+G188</f>
        <v>28385.599999999999</v>
      </c>
      <c r="H185" s="187">
        <f>H186+H188</f>
        <v>28382.400000000001</v>
      </c>
      <c r="I185" s="187">
        <f t="shared" si="13"/>
        <v>3.1999999999970896</v>
      </c>
      <c r="J185" s="189">
        <f t="shared" si="14"/>
        <v>99.988726678315771</v>
      </c>
    </row>
    <row r="186" spans="1:10" ht="25.5">
      <c r="A186" s="16" t="s">
        <v>331</v>
      </c>
      <c r="B186" s="19" t="s">
        <v>268</v>
      </c>
      <c r="C186" s="19" t="s">
        <v>67</v>
      </c>
      <c r="D186" s="19" t="s">
        <v>66</v>
      </c>
      <c r="E186" s="97" t="str">
        <f>'МП пр.5'!B84</f>
        <v>7Г 0 F3 67483</v>
      </c>
      <c r="F186" s="121">
        <v>200</v>
      </c>
      <c r="G186" s="187">
        <f>G187</f>
        <v>14653.3</v>
      </c>
      <c r="H186" s="187">
        <f>H187</f>
        <v>14653.3</v>
      </c>
      <c r="I186" s="187">
        <f t="shared" si="13"/>
        <v>0</v>
      </c>
      <c r="J186" s="189">
        <f t="shared" si="14"/>
        <v>100</v>
      </c>
    </row>
    <row r="187" spans="1:10" ht="25.5">
      <c r="A187" s="16" t="s">
        <v>556</v>
      </c>
      <c r="B187" s="19" t="s">
        <v>268</v>
      </c>
      <c r="C187" s="19" t="s">
        <v>67</v>
      </c>
      <c r="D187" s="19" t="s">
        <v>66</v>
      </c>
      <c r="E187" s="97" t="str">
        <f>'МП пр.5'!B85</f>
        <v>7Г 0 F3 67483</v>
      </c>
      <c r="F187" s="121">
        <v>240</v>
      </c>
      <c r="G187" s="187">
        <f>'МП пр.5'!G88</f>
        <v>14653.3</v>
      </c>
      <c r="H187" s="187">
        <f>'МП пр.5'!H88</f>
        <v>14653.3</v>
      </c>
      <c r="I187" s="187">
        <f t="shared" si="13"/>
        <v>0</v>
      </c>
      <c r="J187" s="189">
        <f t="shared" si="14"/>
        <v>100</v>
      </c>
    </row>
    <row r="188" spans="1:10">
      <c r="A188" s="16" t="s">
        <v>108</v>
      </c>
      <c r="B188" s="19" t="s">
        <v>268</v>
      </c>
      <c r="C188" s="19" t="s">
        <v>67</v>
      </c>
      <c r="D188" s="19" t="s">
        <v>66</v>
      </c>
      <c r="E188" s="97" t="str">
        <f>'МП пр.5'!B89</f>
        <v>7Г 0 F3 67483</v>
      </c>
      <c r="F188" s="20" t="s">
        <v>109</v>
      </c>
      <c r="G188" s="187">
        <f>G189</f>
        <v>13732.3</v>
      </c>
      <c r="H188" s="187">
        <f>H189</f>
        <v>13729.1</v>
      </c>
      <c r="I188" s="187">
        <f t="shared" si="13"/>
        <v>3.1999999999989086</v>
      </c>
      <c r="J188" s="189">
        <f t="shared" si="14"/>
        <v>99.9766972757659</v>
      </c>
    </row>
    <row r="189" spans="1:10">
      <c r="A189" s="16" t="s">
        <v>111</v>
      </c>
      <c r="B189" s="19" t="s">
        <v>268</v>
      </c>
      <c r="C189" s="19" t="s">
        <v>67</v>
      </c>
      <c r="D189" s="19" t="s">
        <v>66</v>
      </c>
      <c r="E189" s="97" t="str">
        <f>'МП пр.5'!B90</f>
        <v>7Г 0 F3 67483</v>
      </c>
      <c r="F189" s="20" t="s">
        <v>112</v>
      </c>
      <c r="G189" s="187">
        <f>'МП пр.5'!G91</f>
        <v>13732.3</v>
      </c>
      <c r="H189" s="187">
        <f>'МП пр.5'!H91</f>
        <v>13729.1</v>
      </c>
      <c r="I189" s="187">
        <f t="shared" si="13"/>
        <v>3.1999999999989086</v>
      </c>
      <c r="J189" s="189">
        <f t="shared" si="14"/>
        <v>99.9766972757659</v>
      </c>
    </row>
    <row r="190" spans="1:10" ht="24.6" customHeight="1">
      <c r="A190" s="28" t="str">
        <f>'МП пр.5'!A92</f>
        <v>Обеспечение мероприятий по переселению граждан из аварийного жилищного фонда за счет средств субъекта Российской Федерации</v>
      </c>
      <c r="B190" s="19" t="s">
        <v>268</v>
      </c>
      <c r="C190" s="19" t="s">
        <v>67</v>
      </c>
      <c r="D190" s="19" t="s">
        <v>66</v>
      </c>
      <c r="E190" s="97" t="str">
        <f>'МП пр.5'!B92</f>
        <v>7Г 0 F3 67484</v>
      </c>
      <c r="F190" s="97"/>
      <c r="G190" s="187">
        <f>G191+G193</f>
        <v>579.29999999999995</v>
      </c>
      <c r="H190" s="187">
        <f>H191+H193</f>
        <v>579.20000000000005</v>
      </c>
      <c r="I190" s="187">
        <f t="shared" si="13"/>
        <v>9.9999999999909051E-2</v>
      </c>
      <c r="J190" s="189">
        <f t="shared" si="14"/>
        <v>99.982737786984316</v>
      </c>
    </row>
    <row r="191" spans="1:10" ht="25.5">
      <c r="A191" s="16" t="s">
        <v>331</v>
      </c>
      <c r="B191" s="19" t="s">
        <v>268</v>
      </c>
      <c r="C191" s="19" t="s">
        <v>67</v>
      </c>
      <c r="D191" s="19" t="s">
        <v>66</v>
      </c>
      <c r="E191" s="97" t="str">
        <f>'МП пр.5'!B91</f>
        <v>7Г 0 F3 67483</v>
      </c>
      <c r="F191" s="121">
        <v>200</v>
      </c>
      <c r="G191" s="187">
        <f>G192</f>
        <v>299</v>
      </c>
      <c r="H191" s="187">
        <f>H192</f>
        <v>299</v>
      </c>
      <c r="I191" s="187">
        <f t="shared" si="13"/>
        <v>0</v>
      </c>
      <c r="J191" s="189">
        <f t="shared" si="14"/>
        <v>100</v>
      </c>
    </row>
    <row r="192" spans="1:10" ht="24.6" customHeight="1">
      <c r="A192" s="16" t="s">
        <v>556</v>
      </c>
      <c r="B192" s="19" t="s">
        <v>268</v>
      </c>
      <c r="C192" s="19" t="s">
        <v>67</v>
      </c>
      <c r="D192" s="19" t="s">
        <v>66</v>
      </c>
      <c r="E192" s="97" t="str">
        <f>'МП пр.5'!B92</f>
        <v>7Г 0 F3 67484</v>
      </c>
      <c r="F192" s="121">
        <v>240</v>
      </c>
      <c r="G192" s="187">
        <f>'МП пр.5'!G97</f>
        <v>299</v>
      </c>
      <c r="H192" s="187">
        <f>'МП пр.5'!H97</f>
        <v>299</v>
      </c>
      <c r="I192" s="187">
        <f t="shared" si="13"/>
        <v>0</v>
      </c>
      <c r="J192" s="189">
        <f t="shared" si="14"/>
        <v>100</v>
      </c>
    </row>
    <row r="193" spans="1:10">
      <c r="A193" s="16" t="s">
        <v>108</v>
      </c>
      <c r="B193" s="19" t="s">
        <v>268</v>
      </c>
      <c r="C193" s="19" t="s">
        <v>67</v>
      </c>
      <c r="D193" s="19" t="s">
        <v>66</v>
      </c>
      <c r="E193" s="97" t="str">
        <f>'МП пр.5'!B93</f>
        <v>7Г 0 F3 67484</v>
      </c>
      <c r="F193" s="20" t="s">
        <v>109</v>
      </c>
      <c r="G193" s="187">
        <f>G194</f>
        <v>280.3</v>
      </c>
      <c r="H193" s="187">
        <f>H194</f>
        <v>280.2</v>
      </c>
      <c r="I193" s="187">
        <f t="shared" si="13"/>
        <v>0.10000000000002274</v>
      </c>
      <c r="J193" s="189">
        <f t="shared" si="14"/>
        <v>99.964323938637165</v>
      </c>
    </row>
    <row r="194" spans="1:10">
      <c r="A194" s="16" t="s">
        <v>111</v>
      </c>
      <c r="B194" s="19" t="s">
        <v>268</v>
      </c>
      <c r="C194" s="19" t="s">
        <v>67</v>
      </c>
      <c r="D194" s="19" t="s">
        <v>66</v>
      </c>
      <c r="E194" s="97" t="str">
        <f>'МП пр.5'!B94</f>
        <v>7Г 0 F3 67484</v>
      </c>
      <c r="F194" s="20" t="s">
        <v>112</v>
      </c>
      <c r="G194" s="187">
        <f>'МП пр.5'!G100</f>
        <v>280.3</v>
      </c>
      <c r="H194" s="187">
        <f>'МП пр.5'!H100</f>
        <v>280.2</v>
      </c>
      <c r="I194" s="187">
        <f t="shared" si="13"/>
        <v>0.10000000000002274</v>
      </c>
      <c r="J194" s="189">
        <f t="shared" si="14"/>
        <v>99.964323938637165</v>
      </c>
    </row>
    <row r="195" spans="1:10">
      <c r="A195" s="28" t="s">
        <v>516</v>
      </c>
      <c r="B195" s="19" t="s">
        <v>268</v>
      </c>
      <c r="C195" s="19" t="s">
        <v>67</v>
      </c>
      <c r="D195" s="19" t="s">
        <v>66</v>
      </c>
      <c r="E195" s="41" t="s">
        <v>517</v>
      </c>
      <c r="F195" s="97"/>
      <c r="G195" s="187">
        <f t="shared" ref="G195:H197" si="19">G196</f>
        <v>6194.3</v>
      </c>
      <c r="H195" s="187">
        <f t="shared" si="19"/>
        <v>6194.3</v>
      </c>
      <c r="I195" s="187">
        <f t="shared" si="13"/>
        <v>0</v>
      </c>
      <c r="J195" s="189">
        <f t="shared" si="14"/>
        <v>100</v>
      </c>
    </row>
    <row r="196" spans="1:10" ht="38.25">
      <c r="A196" s="16" t="s">
        <v>627</v>
      </c>
      <c r="B196" s="19" t="s">
        <v>268</v>
      </c>
      <c r="C196" s="19" t="s">
        <v>67</v>
      </c>
      <c r="D196" s="19" t="s">
        <v>66</v>
      </c>
      <c r="E196" s="41" t="s">
        <v>628</v>
      </c>
      <c r="F196" s="97"/>
      <c r="G196" s="187">
        <f t="shared" si="19"/>
        <v>6194.3</v>
      </c>
      <c r="H196" s="187">
        <f t="shared" si="19"/>
        <v>6194.3</v>
      </c>
      <c r="I196" s="187">
        <f t="shared" si="13"/>
        <v>0</v>
      </c>
      <c r="J196" s="189">
        <f t="shared" si="14"/>
        <v>100</v>
      </c>
    </row>
    <row r="197" spans="1:10">
      <c r="A197" s="16" t="s">
        <v>108</v>
      </c>
      <c r="B197" s="19" t="s">
        <v>268</v>
      </c>
      <c r="C197" s="19" t="s">
        <v>67</v>
      </c>
      <c r="D197" s="19" t="s">
        <v>66</v>
      </c>
      <c r="E197" s="41" t="s">
        <v>628</v>
      </c>
      <c r="F197" s="20" t="s">
        <v>109</v>
      </c>
      <c r="G197" s="187">
        <f t="shared" si="19"/>
        <v>6194.3</v>
      </c>
      <c r="H197" s="187">
        <f t="shared" si="19"/>
        <v>6194.3</v>
      </c>
      <c r="I197" s="187">
        <f t="shared" si="13"/>
        <v>0</v>
      </c>
      <c r="J197" s="189">
        <f t="shared" si="14"/>
        <v>100</v>
      </c>
    </row>
    <row r="198" spans="1:10">
      <c r="A198" s="16" t="s">
        <v>111</v>
      </c>
      <c r="B198" s="19" t="s">
        <v>268</v>
      </c>
      <c r="C198" s="19" t="s">
        <v>67</v>
      </c>
      <c r="D198" s="19" t="s">
        <v>66</v>
      </c>
      <c r="E198" s="41" t="s">
        <v>628</v>
      </c>
      <c r="F198" s="20" t="s">
        <v>112</v>
      </c>
      <c r="G198" s="187">
        <v>6194.3</v>
      </c>
      <c r="H198" s="187">
        <v>6194.3</v>
      </c>
      <c r="I198" s="187">
        <f t="shared" si="13"/>
        <v>0</v>
      </c>
      <c r="J198" s="189">
        <f t="shared" si="14"/>
        <v>100</v>
      </c>
    </row>
    <row r="199" spans="1:10">
      <c r="A199" s="15" t="s">
        <v>127</v>
      </c>
      <c r="B199" s="31" t="s">
        <v>268</v>
      </c>
      <c r="C199" s="31" t="s">
        <v>67</v>
      </c>
      <c r="D199" s="31" t="s">
        <v>72</v>
      </c>
      <c r="E199" s="100"/>
      <c r="F199" s="100"/>
      <c r="G199" s="17">
        <f>G200+G216</f>
        <v>3441.7999999999997</v>
      </c>
      <c r="H199" s="17">
        <f>H200+H216</f>
        <v>3089.0999999999995</v>
      </c>
      <c r="I199" s="185">
        <f t="shared" si="13"/>
        <v>352.70000000000027</v>
      </c>
      <c r="J199" s="188">
        <f t="shared" si="14"/>
        <v>89.752455110697881</v>
      </c>
    </row>
    <row r="200" spans="1:10">
      <c r="A200" s="16" t="s">
        <v>430</v>
      </c>
      <c r="B200" s="20" t="s">
        <v>268</v>
      </c>
      <c r="C200" s="20" t="s">
        <v>67</v>
      </c>
      <c r="D200" s="20" t="s">
        <v>72</v>
      </c>
      <c r="E200" s="102" t="s">
        <v>431</v>
      </c>
      <c r="F200" s="100"/>
      <c r="G200" s="18">
        <f>G201+G208</f>
        <v>2668.7999999999997</v>
      </c>
      <c r="H200" s="18">
        <f>H201+H208</f>
        <v>2668.7999999999997</v>
      </c>
      <c r="I200" s="187">
        <f t="shared" si="13"/>
        <v>0</v>
      </c>
      <c r="J200" s="189">
        <f t="shared" si="14"/>
        <v>100</v>
      </c>
    </row>
    <row r="201" spans="1:10" ht="25.5">
      <c r="A201" s="28" t="str">
        <f>'МП пр.5'!A384</f>
        <v>Муниципальная  программа  "Развитие образования в Сусуманском городском округе  на 2018- 2022 годы"</v>
      </c>
      <c r="B201" s="20" t="s">
        <v>268</v>
      </c>
      <c r="C201" s="20" t="s">
        <v>67</v>
      </c>
      <c r="D201" s="20" t="s">
        <v>72</v>
      </c>
      <c r="E201" s="97" t="str">
        <f>'МП пр.5'!B384</f>
        <v xml:space="preserve">7Р 0 00 00000 </v>
      </c>
      <c r="F201" s="97"/>
      <c r="G201" s="187">
        <f>G202</f>
        <v>2603.8999999999996</v>
      </c>
      <c r="H201" s="187">
        <f>H202</f>
        <v>2603.8999999999996</v>
      </c>
      <c r="I201" s="187">
        <f t="shared" si="13"/>
        <v>0</v>
      </c>
      <c r="J201" s="189">
        <f t="shared" si="14"/>
        <v>100</v>
      </c>
    </row>
    <row r="202" spans="1:10" ht="38.25">
      <c r="A202" s="16" t="str">
        <f>'МП пр.5'!A486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02" s="20" t="s">
        <v>268</v>
      </c>
      <c r="C202" s="20" t="s">
        <v>67</v>
      </c>
      <c r="D202" s="20" t="s">
        <v>72</v>
      </c>
      <c r="E202" s="97" t="str">
        <f>'МП пр.5'!B486</f>
        <v>7Р 0 04 00000</v>
      </c>
      <c r="F202" s="97"/>
      <c r="G202" s="187">
        <f>G203</f>
        <v>2603.8999999999996</v>
      </c>
      <c r="H202" s="187">
        <f>H203</f>
        <v>2603.8999999999996</v>
      </c>
      <c r="I202" s="187">
        <f t="shared" si="13"/>
        <v>0</v>
      </c>
      <c r="J202" s="189">
        <f t="shared" si="14"/>
        <v>100</v>
      </c>
    </row>
    <row r="203" spans="1:10" ht="25.5">
      <c r="A203" s="16" t="str">
        <f>'МП пр.5'!A487</f>
        <v xml:space="preserve">Осуществление государственных полномочий по организации и осуществлению деятельности по опеке и попечительству </v>
      </c>
      <c r="B203" s="20" t="s">
        <v>268</v>
      </c>
      <c r="C203" s="20" t="s">
        <v>67</v>
      </c>
      <c r="D203" s="20" t="s">
        <v>72</v>
      </c>
      <c r="E203" s="97" t="str">
        <f>'МП пр.5'!B487</f>
        <v>7Р 0 04 74090</v>
      </c>
      <c r="F203" s="97"/>
      <c r="G203" s="187">
        <f>G204+G206</f>
        <v>2603.8999999999996</v>
      </c>
      <c r="H203" s="187">
        <f>H204+H206</f>
        <v>2603.8999999999996</v>
      </c>
      <c r="I203" s="187">
        <f t="shared" si="13"/>
        <v>0</v>
      </c>
      <c r="J203" s="189">
        <f t="shared" si="14"/>
        <v>100</v>
      </c>
    </row>
    <row r="204" spans="1:10" ht="51">
      <c r="A204" s="16" t="s">
        <v>90</v>
      </c>
      <c r="B204" s="20" t="s">
        <v>268</v>
      </c>
      <c r="C204" s="20" t="s">
        <v>67</v>
      </c>
      <c r="D204" s="20" t="s">
        <v>72</v>
      </c>
      <c r="E204" s="97" t="s">
        <v>384</v>
      </c>
      <c r="F204" s="97" t="s">
        <v>91</v>
      </c>
      <c r="G204" s="187">
        <f>G205</f>
        <v>2320.1999999999998</v>
      </c>
      <c r="H204" s="187">
        <f>H205</f>
        <v>2320.1999999999998</v>
      </c>
      <c r="I204" s="187">
        <f t="shared" si="13"/>
        <v>0</v>
      </c>
      <c r="J204" s="189">
        <f t="shared" si="14"/>
        <v>100</v>
      </c>
    </row>
    <row r="205" spans="1:10" ht="25.5">
      <c r="A205" s="16" t="s">
        <v>87</v>
      </c>
      <c r="B205" s="20" t="s">
        <v>268</v>
      </c>
      <c r="C205" s="20" t="s">
        <v>67</v>
      </c>
      <c r="D205" s="20" t="s">
        <v>72</v>
      </c>
      <c r="E205" s="97" t="s">
        <v>384</v>
      </c>
      <c r="F205" s="97" t="s">
        <v>88</v>
      </c>
      <c r="G205" s="187">
        <f>'МП пр.5'!G492</f>
        <v>2320.1999999999998</v>
      </c>
      <c r="H205" s="187">
        <f>'МП пр.5'!H492</f>
        <v>2320.1999999999998</v>
      </c>
      <c r="I205" s="187">
        <f t="shared" si="13"/>
        <v>0</v>
      </c>
      <c r="J205" s="189">
        <f t="shared" si="14"/>
        <v>100</v>
      </c>
    </row>
    <row r="206" spans="1:10" ht="25.5">
      <c r="A206" s="16" t="s">
        <v>331</v>
      </c>
      <c r="B206" s="20" t="s">
        <v>268</v>
      </c>
      <c r="C206" s="20" t="s">
        <v>67</v>
      </c>
      <c r="D206" s="20" t="s">
        <v>72</v>
      </c>
      <c r="E206" s="97" t="s">
        <v>384</v>
      </c>
      <c r="F206" s="97" t="s">
        <v>92</v>
      </c>
      <c r="G206" s="187">
        <f>G207</f>
        <v>283.7</v>
      </c>
      <c r="H206" s="187">
        <f>H207</f>
        <v>283.7</v>
      </c>
      <c r="I206" s="187">
        <f t="shared" si="13"/>
        <v>0</v>
      </c>
      <c r="J206" s="189">
        <f t="shared" si="14"/>
        <v>100</v>
      </c>
    </row>
    <row r="207" spans="1:10" ht="25.5">
      <c r="A207" s="16" t="s">
        <v>556</v>
      </c>
      <c r="B207" s="20" t="s">
        <v>268</v>
      </c>
      <c r="C207" s="20" t="s">
        <v>67</v>
      </c>
      <c r="D207" s="20" t="s">
        <v>72</v>
      </c>
      <c r="E207" s="97" t="s">
        <v>384</v>
      </c>
      <c r="F207" s="97" t="s">
        <v>89</v>
      </c>
      <c r="G207" s="187">
        <f>'МП пр.5'!G495</f>
        <v>283.7</v>
      </c>
      <c r="H207" s="187">
        <f>'МП пр.5'!H495</f>
        <v>283.7</v>
      </c>
      <c r="I207" s="187">
        <f t="shared" ref="I207:I270" si="20">G207-H207</f>
        <v>0</v>
      </c>
      <c r="J207" s="189">
        <f t="shared" ref="J207:J270" si="21">H207/G207*100</f>
        <v>100</v>
      </c>
    </row>
    <row r="208" spans="1:10" ht="51">
      <c r="A208" s="16" t="str">
        <f>'МП пр.5'!A654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208" s="19" t="s">
        <v>268</v>
      </c>
      <c r="C208" s="20" t="s">
        <v>67</v>
      </c>
      <c r="D208" s="20" t="s">
        <v>72</v>
      </c>
      <c r="E208" s="97" t="str">
        <f>'МП пр.5'!B654</f>
        <v>7L 0 00 00000</v>
      </c>
      <c r="F208" s="97"/>
      <c r="G208" s="187">
        <f>G209</f>
        <v>64.900000000000006</v>
      </c>
      <c r="H208" s="187">
        <f>H209</f>
        <v>64.900000000000006</v>
      </c>
      <c r="I208" s="187">
        <f t="shared" si="20"/>
        <v>0</v>
      </c>
      <c r="J208" s="189">
        <f t="shared" si="21"/>
        <v>100</v>
      </c>
    </row>
    <row r="209" spans="1:10" ht="38.25">
      <c r="A209" s="28" t="str">
        <f>'МП пр.5'!A655</f>
        <v>Основное мероприятие "Оказание финансовой поддержки деятельности социально ориентированных некоммерческих организаций"</v>
      </c>
      <c r="B209" s="19" t="s">
        <v>268</v>
      </c>
      <c r="C209" s="20" t="s">
        <v>67</v>
      </c>
      <c r="D209" s="20" t="s">
        <v>72</v>
      </c>
      <c r="E209" s="97" t="str">
        <f>'МП пр.5'!B655</f>
        <v>7L 0 01 00000</v>
      </c>
      <c r="F209" s="97"/>
      <c r="G209" s="187">
        <f>G210+G213</f>
        <v>64.900000000000006</v>
      </c>
      <c r="H209" s="187">
        <f>H210+H213</f>
        <v>64.900000000000006</v>
      </c>
      <c r="I209" s="187">
        <f t="shared" si="20"/>
        <v>0</v>
      </c>
      <c r="J209" s="189">
        <f t="shared" si="21"/>
        <v>100</v>
      </c>
    </row>
    <row r="210" spans="1:10" ht="38.25">
      <c r="A210" s="28" t="str">
        <f>'МП пр.5'!A656</f>
        <v>Поддержка деятельности социально ориентированных некоммерческих организаций за счет средств из областного бюджета</v>
      </c>
      <c r="B210" s="19" t="s">
        <v>268</v>
      </c>
      <c r="C210" s="20" t="s">
        <v>67</v>
      </c>
      <c r="D210" s="20" t="s">
        <v>72</v>
      </c>
      <c r="E210" s="97" t="str">
        <f>'МП пр.5'!B659</f>
        <v>7L 0 01 73280</v>
      </c>
      <c r="F210" s="97"/>
      <c r="G210" s="187">
        <f>G211</f>
        <v>34.9</v>
      </c>
      <c r="H210" s="187">
        <f>H211</f>
        <v>34.9</v>
      </c>
      <c r="I210" s="187">
        <f t="shared" si="20"/>
        <v>0</v>
      </c>
      <c r="J210" s="189">
        <f t="shared" si="21"/>
        <v>100</v>
      </c>
    </row>
    <row r="211" spans="1:10" ht="25.5">
      <c r="A211" s="16" t="s">
        <v>93</v>
      </c>
      <c r="B211" s="19" t="s">
        <v>268</v>
      </c>
      <c r="C211" s="20" t="s">
        <v>67</v>
      </c>
      <c r="D211" s="20" t="s">
        <v>72</v>
      </c>
      <c r="E211" s="97" t="str">
        <f>'МП пр.5'!B660</f>
        <v>7L 0 01 73280</v>
      </c>
      <c r="F211" s="97" t="s">
        <v>94</v>
      </c>
      <c r="G211" s="187">
        <f>G212</f>
        <v>34.9</v>
      </c>
      <c r="H211" s="187">
        <f>H212</f>
        <v>34.9</v>
      </c>
      <c r="I211" s="187">
        <f t="shared" si="20"/>
        <v>0</v>
      </c>
      <c r="J211" s="189">
        <f t="shared" si="21"/>
        <v>100</v>
      </c>
    </row>
    <row r="212" spans="1:10" ht="51">
      <c r="A212" s="16" t="s">
        <v>656</v>
      </c>
      <c r="B212" s="19" t="s">
        <v>268</v>
      </c>
      <c r="C212" s="20" t="s">
        <v>67</v>
      </c>
      <c r="D212" s="20" t="s">
        <v>72</v>
      </c>
      <c r="E212" s="97" t="str">
        <f>'МП пр.5'!B661</f>
        <v>7L 0 01 73280</v>
      </c>
      <c r="F212" s="121">
        <v>630</v>
      </c>
      <c r="G212" s="187">
        <f>'МП пр.5'!G661</f>
        <v>34.9</v>
      </c>
      <c r="H212" s="187">
        <f>'МП пр.5'!H661</f>
        <v>34.9</v>
      </c>
      <c r="I212" s="187">
        <f t="shared" si="20"/>
        <v>0</v>
      </c>
      <c r="J212" s="189">
        <f t="shared" si="21"/>
        <v>100</v>
      </c>
    </row>
    <row r="213" spans="1:10" ht="25.5">
      <c r="A213" s="16" t="str">
        <f>'МП пр.5'!A662</f>
        <v>Поддержка деятельности социально ориентированных некоммерческих организаций</v>
      </c>
      <c r="B213" s="19" t="s">
        <v>268</v>
      </c>
      <c r="C213" s="20" t="s">
        <v>67</v>
      </c>
      <c r="D213" s="20" t="s">
        <v>72</v>
      </c>
      <c r="E213" s="97" t="str">
        <f>'МП пр.5'!B662</f>
        <v>7L 0 01 91700</v>
      </c>
      <c r="F213" s="97"/>
      <c r="G213" s="187">
        <f>G214</f>
        <v>30</v>
      </c>
      <c r="H213" s="187">
        <f>H214</f>
        <v>30</v>
      </c>
      <c r="I213" s="187">
        <f t="shared" si="20"/>
        <v>0</v>
      </c>
      <c r="J213" s="189">
        <f t="shared" si="21"/>
        <v>100</v>
      </c>
    </row>
    <row r="214" spans="1:10" ht="25.5">
      <c r="A214" s="16" t="s">
        <v>93</v>
      </c>
      <c r="B214" s="19" t="s">
        <v>268</v>
      </c>
      <c r="C214" s="20" t="s">
        <v>67</v>
      </c>
      <c r="D214" s="20" t="s">
        <v>72</v>
      </c>
      <c r="E214" s="97" t="s">
        <v>409</v>
      </c>
      <c r="F214" s="97" t="s">
        <v>94</v>
      </c>
      <c r="G214" s="187">
        <f>G215</f>
        <v>30</v>
      </c>
      <c r="H214" s="187">
        <f>H215</f>
        <v>30</v>
      </c>
      <c r="I214" s="187">
        <f t="shared" si="20"/>
        <v>0</v>
      </c>
      <c r="J214" s="189">
        <f t="shared" si="21"/>
        <v>100</v>
      </c>
    </row>
    <row r="215" spans="1:10" ht="51">
      <c r="A215" s="16" t="s">
        <v>656</v>
      </c>
      <c r="B215" s="19" t="s">
        <v>268</v>
      </c>
      <c r="C215" s="20" t="s">
        <v>67</v>
      </c>
      <c r="D215" s="20" t="s">
        <v>72</v>
      </c>
      <c r="E215" s="97" t="s">
        <v>409</v>
      </c>
      <c r="F215" s="121">
        <v>630</v>
      </c>
      <c r="G215" s="187">
        <f>'МП пр.5'!G667</f>
        <v>30</v>
      </c>
      <c r="H215" s="187">
        <f>'МП пр.5'!H667</f>
        <v>30</v>
      </c>
      <c r="I215" s="187">
        <f t="shared" si="20"/>
        <v>0</v>
      </c>
      <c r="J215" s="189">
        <f t="shared" si="21"/>
        <v>100</v>
      </c>
    </row>
    <row r="216" spans="1:10" ht="51">
      <c r="A216" s="151" t="s">
        <v>527</v>
      </c>
      <c r="B216" s="20" t="s">
        <v>268</v>
      </c>
      <c r="C216" s="20" t="s">
        <v>67</v>
      </c>
      <c r="D216" s="20" t="s">
        <v>72</v>
      </c>
      <c r="E216" s="97" t="s">
        <v>416</v>
      </c>
      <c r="F216" s="97"/>
      <c r="G216" s="18">
        <f>G217</f>
        <v>773</v>
      </c>
      <c r="H216" s="18">
        <f>H217</f>
        <v>420.29999999999995</v>
      </c>
      <c r="I216" s="187">
        <f t="shared" si="20"/>
        <v>352.70000000000005</v>
      </c>
      <c r="J216" s="189">
        <f t="shared" si="21"/>
        <v>54.372574385510987</v>
      </c>
    </row>
    <row r="217" spans="1:10" ht="25.5">
      <c r="A217" s="16" t="s">
        <v>438</v>
      </c>
      <c r="B217" s="20" t="s">
        <v>268</v>
      </c>
      <c r="C217" s="20" t="s">
        <v>67</v>
      </c>
      <c r="D217" s="20" t="s">
        <v>72</v>
      </c>
      <c r="E217" s="97" t="s">
        <v>529</v>
      </c>
      <c r="F217" s="97"/>
      <c r="G217" s="18">
        <f>G218</f>
        <v>773</v>
      </c>
      <c r="H217" s="18">
        <f>H218</f>
        <v>420.29999999999995</v>
      </c>
      <c r="I217" s="187">
        <f t="shared" si="20"/>
        <v>352.70000000000005</v>
      </c>
      <c r="J217" s="189">
        <f t="shared" si="21"/>
        <v>54.372574385510987</v>
      </c>
    </row>
    <row r="218" spans="1:10" ht="25.5">
      <c r="A218" s="16" t="s">
        <v>540</v>
      </c>
      <c r="B218" s="20" t="s">
        <v>268</v>
      </c>
      <c r="C218" s="20" t="s">
        <v>67</v>
      </c>
      <c r="D218" s="20" t="s">
        <v>72</v>
      </c>
      <c r="E218" s="97" t="s">
        <v>530</v>
      </c>
      <c r="F218" s="97"/>
      <c r="G218" s="18">
        <f>G219+G221</f>
        <v>773</v>
      </c>
      <c r="H218" s="18">
        <f>H219+H221</f>
        <v>420.29999999999995</v>
      </c>
      <c r="I218" s="187">
        <f t="shared" si="20"/>
        <v>352.70000000000005</v>
      </c>
      <c r="J218" s="189">
        <f t="shared" si="21"/>
        <v>54.372574385510987</v>
      </c>
    </row>
    <row r="219" spans="1:10" ht="51">
      <c r="A219" s="16" t="s">
        <v>90</v>
      </c>
      <c r="B219" s="20" t="s">
        <v>268</v>
      </c>
      <c r="C219" s="20" t="s">
        <v>67</v>
      </c>
      <c r="D219" s="20" t="s">
        <v>72</v>
      </c>
      <c r="E219" s="97" t="s">
        <v>530</v>
      </c>
      <c r="F219" s="97" t="s">
        <v>91</v>
      </c>
      <c r="G219" s="187">
        <f>G220</f>
        <v>564.29999999999995</v>
      </c>
      <c r="H219" s="187">
        <f>H220</f>
        <v>230.6</v>
      </c>
      <c r="I219" s="187">
        <f t="shared" si="20"/>
        <v>333.69999999999993</v>
      </c>
      <c r="J219" s="189">
        <f t="shared" si="21"/>
        <v>40.864788233209289</v>
      </c>
    </row>
    <row r="220" spans="1:10" ht="25.5">
      <c r="A220" s="16" t="s">
        <v>87</v>
      </c>
      <c r="B220" s="20" t="s">
        <v>268</v>
      </c>
      <c r="C220" s="20" t="s">
        <v>67</v>
      </c>
      <c r="D220" s="20" t="s">
        <v>72</v>
      </c>
      <c r="E220" s="97" t="s">
        <v>530</v>
      </c>
      <c r="F220" s="97" t="s">
        <v>88</v>
      </c>
      <c r="G220" s="187">
        <f>537.9+26.4</f>
        <v>564.29999999999995</v>
      </c>
      <c r="H220" s="187">
        <v>230.6</v>
      </c>
      <c r="I220" s="187">
        <f t="shared" si="20"/>
        <v>333.69999999999993</v>
      </c>
      <c r="J220" s="189">
        <f t="shared" si="21"/>
        <v>40.864788233209289</v>
      </c>
    </row>
    <row r="221" spans="1:10" ht="25.5">
      <c r="A221" s="16" t="s">
        <v>331</v>
      </c>
      <c r="B221" s="20" t="s">
        <v>268</v>
      </c>
      <c r="C221" s="20" t="s">
        <v>67</v>
      </c>
      <c r="D221" s="20" t="s">
        <v>72</v>
      </c>
      <c r="E221" s="97" t="s">
        <v>530</v>
      </c>
      <c r="F221" s="97" t="s">
        <v>92</v>
      </c>
      <c r="G221" s="187">
        <f>G222</f>
        <v>208.7</v>
      </c>
      <c r="H221" s="187">
        <f>H222</f>
        <v>189.7</v>
      </c>
      <c r="I221" s="187">
        <f t="shared" si="20"/>
        <v>19</v>
      </c>
      <c r="J221" s="189">
        <f t="shared" si="21"/>
        <v>90.896022999520838</v>
      </c>
    </row>
    <row r="222" spans="1:10" ht="25.5">
      <c r="A222" s="16" t="s">
        <v>556</v>
      </c>
      <c r="B222" s="20" t="s">
        <v>268</v>
      </c>
      <c r="C222" s="20" t="s">
        <v>67</v>
      </c>
      <c r="D222" s="20" t="s">
        <v>72</v>
      </c>
      <c r="E222" s="97" t="s">
        <v>530</v>
      </c>
      <c r="F222" s="97" t="s">
        <v>89</v>
      </c>
      <c r="G222" s="187">
        <f>235.1-26.4</f>
        <v>208.7</v>
      </c>
      <c r="H222" s="187">
        <v>189.7</v>
      </c>
      <c r="I222" s="187">
        <f t="shared" si="20"/>
        <v>19</v>
      </c>
      <c r="J222" s="189">
        <f t="shared" si="21"/>
        <v>90.896022999520838</v>
      </c>
    </row>
    <row r="223" spans="1:10" ht="25.5">
      <c r="A223" s="15" t="s">
        <v>129</v>
      </c>
      <c r="B223" s="35" t="s">
        <v>269</v>
      </c>
      <c r="C223" s="31"/>
      <c r="D223" s="31"/>
      <c r="E223" s="100"/>
      <c r="F223" s="100"/>
      <c r="G223" s="185">
        <f>G224+G251</f>
        <v>18787.2</v>
      </c>
      <c r="H223" s="185">
        <f>H224+H251</f>
        <v>18224.799999999996</v>
      </c>
      <c r="I223" s="187">
        <f t="shared" si="20"/>
        <v>562.40000000000509</v>
      </c>
      <c r="J223" s="189">
        <f t="shared" si="21"/>
        <v>97.006472491909363</v>
      </c>
    </row>
    <row r="224" spans="1:10">
      <c r="A224" s="15" t="s">
        <v>2</v>
      </c>
      <c r="B224" s="35" t="s">
        <v>269</v>
      </c>
      <c r="C224" s="31" t="s">
        <v>62</v>
      </c>
      <c r="D224" s="31" t="s">
        <v>33</v>
      </c>
      <c r="E224" s="100"/>
      <c r="F224" s="100"/>
      <c r="G224" s="185">
        <f>G225+G246</f>
        <v>18775.2</v>
      </c>
      <c r="H224" s="185">
        <f>H225+H246</f>
        <v>18212.799999999996</v>
      </c>
      <c r="I224" s="187">
        <f t="shared" si="20"/>
        <v>562.40000000000509</v>
      </c>
      <c r="J224" s="189">
        <f t="shared" si="21"/>
        <v>97.004559205760771</v>
      </c>
    </row>
    <row r="225" spans="1:10" ht="38.25">
      <c r="A225" s="15" t="s">
        <v>75</v>
      </c>
      <c r="B225" s="35" t="s">
        <v>269</v>
      </c>
      <c r="C225" s="31" t="s">
        <v>62</v>
      </c>
      <c r="D225" s="31" t="s">
        <v>72</v>
      </c>
      <c r="E225" s="100"/>
      <c r="F225" s="100"/>
      <c r="G225" s="185">
        <f>G226</f>
        <v>18574.7</v>
      </c>
      <c r="H225" s="185">
        <f>H226</f>
        <v>18212.799999999996</v>
      </c>
      <c r="I225" s="187">
        <f t="shared" si="20"/>
        <v>361.90000000000509</v>
      </c>
      <c r="J225" s="189">
        <f t="shared" si="21"/>
        <v>98.051650901495009</v>
      </c>
    </row>
    <row r="226" spans="1:10" ht="38.25">
      <c r="A226" s="16" t="s">
        <v>275</v>
      </c>
      <c r="B226" s="19" t="s">
        <v>269</v>
      </c>
      <c r="C226" s="20" t="s">
        <v>62</v>
      </c>
      <c r="D226" s="20" t="s">
        <v>72</v>
      </c>
      <c r="E226" s="97" t="s">
        <v>173</v>
      </c>
      <c r="F226" s="97"/>
      <c r="G226" s="187">
        <f>G227</f>
        <v>18574.7</v>
      </c>
      <c r="H226" s="187">
        <f>H227</f>
        <v>18212.799999999996</v>
      </c>
      <c r="I226" s="187">
        <f t="shared" si="20"/>
        <v>361.90000000000509</v>
      </c>
      <c r="J226" s="189">
        <f t="shared" si="21"/>
        <v>98.051650901495009</v>
      </c>
    </row>
    <row r="227" spans="1:10">
      <c r="A227" s="16" t="s">
        <v>46</v>
      </c>
      <c r="B227" s="19" t="s">
        <v>269</v>
      </c>
      <c r="C227" s="20" t="s">
        <v>62</v>
      </c>
      <c r="D227" s="20" t="s">
        <v>72</v>
      </c>
      <c r="E227" s="97" t="s">
        <v>179</v>
      </c>
      <c r="F227" s="97"/>
      <c r="G227" s="187">
        <f>G228+G234+G240+G243+G231</f>
        <v>18574.7</v>
      </c>
      <c r="H227" s="187">
        <f>H228+H234+H240+H243+H231</f>
        <v>18212.799999999996</v>
      </c>
      <c r="I227" s="187">
        <f t="shared" si="20"/>
        <v>361.90000000000509</v>
      </c>
      <c r="J227" s="189">
        <f t="shared" si="21"/>
        <v>98.051650901495009</v>
      </c>
    </row>
    <row r="228" spans="1:10" ht="25.5">
      <c r="A228" s="16" t="s">
        <v>175</v>
      </c>
      <c r="B228" s="19" t="s">
        <v>269</v>
      </c>
      <c r="C228" s="20" t="s">
        <v>62</v>
      </c>
      <c r="D228" s="20" t="s">
        <v>72</v>
      </c>
      <c r="E228" s="97" t="s">
        <v>180</v>
      </c>
      <c r="F228" s="97"/>
      <c r="G228" s="187">
        <f>G229</f>
        <v>17125.2</v>
      </c>
      <c r="H228" s="187">
        <f>H229</f>
        <v>16803.599999999999</v>
      </c>
      <c r="I228" s="187">
        <f t="shared" si="20"/>
        <v>321.60000000000218</v>
      </c>
      <c r="J228" s="189">
        <f t="shared" si="21"/>
        <v>98.122065727699521</v>
      </c>
    </row>
    <row r="229" spans="1:10" ht="51">
      <c r="A229" s="16" t="s">
        <v>90</v>
      </c>
      <c r="B229" s="19" t="s">
        <v>269</v>
      </c>
      <c r="C229" s="20" t="s">
        <v>62</v>
      </c>
      <c r="D229" s="20" t="s">
        <v>72</v>
      </c>
      <c r="E229" s="97" t="s">
        <v>180</v>
      </c>
      <c r="F229" s="97" t="s">
        <v>91</v>
      </c>
      <c r="G229" s="187">
        <f>G230</f>
        <v>17125.2</v>
      </c>
      <c r="H229" s="187">
        <f>H230</f>
        <v>16803.599999999999</v>
      </c>
      <c r="I229" s="187">
        <f t="shared" si="20"/>
        <v>321.60000000000218</v>
      </c>
      <c r="J229" s="189">
        <f t="shared" si="21"/>
        <v>98.122065727699521</v>
      </c>
    </row>
    <row r="230" spans="1:10" ht="25.5">
      <c r="A230" s="16" t="s">
        <v>87</v>
      </c>
      <c r="B230" s="19" t="s">
        <v>269</v>
      </c>
      <c r="C230" s="20" t="s">
        <v>62</v>
      </c>
      <c r="D230" s="20" t="s">
        <v>72</v>
      </c>
      <c r="E230" s="97" t="s">
        <v>180</v>
      </c>
      <c r="F230" s="97" t="s">
        <v>88</v>
      </c>
      <c r="G230" s="187">
        <f>19748.4-2623.2</f>
        <v>17125.2</v>
      </c>
      <c r="H230" s="187">
        <v>16803.599999999999</v>
      </c>
      <c r="I230" s="187">
        <f t="shared" si="20"/>
        <v>321.60000000000218</v>
      </c>
      <c r="J230" s="189">
        <f t="shared" si="21"/>
        <v>98.122065727699521</v>
      </c>
    </row>
    <row r="231" spans="1:10" ht="38.25">
      <c r="A231" s="161" t="s">
        <v>687</v>
      </c>
      <c r="B231" s="19" t="s">
        <v>269</v>
      </c>
      <c r="C231" s="20" t="s">
        <v>62</v>
      </c>
      <c r="D231" s="20" t="s">
        <v>72</v>
      </c>
      <c r="E231" s="97" t="s">
        <v>688</v>
      </c>
      <c r="F231" s="97"/>
      <c r="G231" s="187">
        <f>G232</f>
        <v>253</v>
      </c>
      <c r="H231" s="187">
        <f>H232</f>
        <v>253</v>
      </c>
      <c r="I231" s="187">
        <f t="shared" si="20"/>
        <v>0</v>
      </c>
      <c r="J231" s="189">
        <f t="shared" si="21"/>
        <v>100</v>
      </c>
    </row>
    <row r="232" spans="1:10" ht="51">
      <c r="A232" s="16" t="s">
        <v>90</v>
      </c>
      <c r="B232" s="19" t="s">
        <v>269</v>
      </c>
      <c r="C232" s="20" t="s">
        <v>62</v>
      </c>
      <c r="D232" s="20" t="s">
        <v>72</v>
      </c>
      <c r="E232" s="97" t="s">
        <v>688</v>
      </c>
      <c r="F232" s="97" t="s">
        <v>91</v>
      </c>
      <c r="G232" s="187">
        <f>G233</f>
        <v>253</v>
      </c>
      <c r="H232" s="187">
        <f>H233</f>
        <v>253</v>
      </c>
      <c r="I232" s="187">
        <f t="shared" si="20"/>
        <v>0</v>
      </c>
      <c r="J232" s="189">
        <f t="shared" si="21"/>
        <v>100</v>
      </c>
    </row>
    <row r="233" spans="1:10" ht="25.5">
      <c r="A233" s="16" t="s">
        <v>87</v>
      </c>
      <c r="B233" s="19" t="s">
        <v>269</v>
      </c>
      <c r="C233" s="20" t="s">
        <v>62</v>
      </c>
      <c r="D233" s="20" t="s">
        <v>72</v>
      </c>
      <c r="E233" s="97" t="s">
        <v>688</v>
      </c>
      <c r="F233" s="97" t="s">
        <v>88</v>
      </c>
      <c r="G233" s="187">
        <f>200+53</f>
        <v>253</v>
      </c>
      <c r="H233" s="187">
        <f>200+53</f>
        <v>253</v>
      </c>
      <c r="I233" s="187">
        <f t="shared" si="20"/>
        <v>0</v>
      </c>
      <c r="J233" s="189">
        <f t="shared" si="21"/>
        <v>100</v>
      </c>
    </row>
    <row r="234" spans="1:10">
      <c r="A234" s="16" t="s">
        <v>176</v>
      </c>
      <c r="B234" s="19" t="s">
        <v>269</v>
      </c>
      <c r="C234" s="20" t="s">
        <v>62</v>
      </c>
      <c r="D234" s="20" t="s">
        <v>72</v>
      </c>
      <c r="E234" s="97" t="s">
        <v>181</v>
      </c>
      <c r="F234" s="97"/>
      <c r="G234" s="187">
        <f>G235+G237</f>
        <v>882.09999999999991</v>
      </c>
      <c r="H234" s="187">
        <f>H235+H237</f>
        <v>842</v>
      </c>
      <c r="I234" s="187">
        <f t="shared" si="20"/>
        <v>40.099999999999909</v>
      </c>
      <c r="J234" s="189">
        <f t="shared" si="21"/>
        <v>95.454030155311202</v>
      </c>
    </row>
    <row r="235" spans="1:10" ht="25.5">
      <c r="A235" s="16" t="s">
        <v>331</v>
      </c>
      <c r="B235" s="19" t="s">
        <v>269</v>
      </c>
      <c r="C235" s="20" t="s">
        <v>62</v>
      </c>
      <c r="D235" s="20" t="s">
        <v>72</v>
      </c>
      <c r="E235" s="97" t="s">
        <v>181</v>
      </c>
      <c r="F235" s="97" t="s">
        <v>92</v>
      </c>
      <c r="G235" s="187">
        <f>G236</f>
        <v>878.3</v>
      </c>
      <c r="H235" s="187">
        <f>H236</f>
        <v>841.2</v>
      </c>
      <c r="I235" s="187">
        <f t="shared" si="20"/>
        <v>37.099999999999909</v>
      </c>
      <c r="J235" s="189">
        <f t="shared" si="21"/>
        <v>95.775930775361502</v>
      </c>
    </row>
    <row r="236" spans="1:10" ht="25.5">
      <c r="A236" s="16" t="s">
        <v>556</v>
      </c>
      <c r="B236" s="19" t="s">
        <v>269</v>
      </c>
      <c r="C236" s="20" t="s">
        <v>62</v>
      </c>
      <c r="D236" s="20" t="s">
        <v>72</v>
      </c>
      <c r="E236" s="97" t="s">
        <v>181</v>
      </c>
      <c r="F236" s="97" t="s">
        <v>89</v>
      </c>
      <c r="G236" s="187">
        <f>775.5+102.8</f>
        <v>878.3</v>
      </c>
      <c r="H236" s="187">
        <v>841.2</v>
      </c>
      <c r="I236" s="187">
        <f t="shared" si="20"/>
        <v>37.099999999999909</v>
      </c>
      <c r="J236" s="189">
        <f t="shared" si="21"/>
        <v>95.775930775361502</v>
      </c>
    </row>
    <row r="237" spans="1:10">
      <c r="A237" s="16" t="s">
        <v>108</v>
      </c>
      <c r="B237" s="19" t="s">
        <v>269</v>
      </c>
      <c r="C237" s="20" t="s">
        <v>62</v>
      </c>
      <c r="D237" s="20" t="s">
        <v>72</v>
      </c>
      <c r="E237" s="97" t="s">
        <v>181</v>
      </c>
      <c r="F237" s="97" t="s">
        <v>109</v>
      </c>
      <c r="G237" s="187">
        <f>G239+G238</f>
        <v>3.8</v>
      </c>
      <c r="H237" s="187">
        <f>H239+H238</f>
        <v>0.8</v>
      </c>
      <c r="I237" s="187">
        <f t="shared" si="20"/>
        <v>3</v>
      </c>
      <c r="J237" s="189">
        <f t="shared" si="21"/>
        <v>21.05263157894737</v>
      </c>
    </row>
    <row r="238" spans="1:10">
      <c r="A238" s="28" t="s">
        <v>597</v>
      </c>
      <c r="B238" s="19" t="s">
        <v>269</v>
      </c>
      <c r="C238" s="20" t="s">
        <v>62</v>
      </c>
      <c r="D238" s="20" t="s">
        <v>72</v>
      </c>
      <c r="E238" s="97" t="s">
        <v>181</v>
      </c>
      <c r="F238" s="121">
        <v>830</v>
      </c>
      <c r="G238" s="187">
        <v>1.3</v>
      </c>
      <c r="H238" s="187"/>
      <c r="I238" s="187">
        <f t="shared" si="20"/>
        <v>1.3</v>
      </c>
      <c r="J238" s="189">
        <f t="shared" si="21"/>
        <v>0</v>
      </c>
    </row>
    <row r="239" spans="1:10">
      <c r="A239" s="16" t="s">
        <v>111</v>
      </c>
      <c r="B239" s="19" t="s">
        <v>269</v>
      </c>
      <c r="C239" s="20" t="s">
        <v>62</v>
      </c>
      <c r="D239" s="20" t="s">
        <v>72</v>
      </c>
      <c r="E239" s="97" t="s">
        <v>181</v>
      </c>
      <c r="F239" s="97" t="s">
        <v>112</v>
      </c>
      <c r="G239" s="187">
        <f>4.5-2</f>
        <v>2.5</v>
      </c>
      <c r="H239" s="187">
        <v>0.8</v>
      </c>
      <c r="I239" s="187">
        <f t="shared" si="20"/>
        <v>1.7</v>
      </c>
      <c r="J239" s="189">
        <f t="shared" si="21"/>
        <v>32</v>
      </c>
    </row>
    <row r="240" spans="1:10" ht="63.75">
      <c r="A240" s="16" t="s">
        <v>202</v>
      </c>
      <c r="B240" s="19" t="s">
        <v>269</v>
      </c>
      <c r="C240" s="20" t="s">
        <v>62</v>
      </c>
      <c r="D240" s="20" t="s">
        <v>72</v>
      </c>
      <c r="E240" s="97" t="s">
        <v>414</v>
      </c>
      <c r="F240" s="97"/>
      <c r="G240" s="187">
        <f>G241</f>
        <v>294.2</v>
      </c>
      <c r="H240" s="187">
        <f>H241</f>
        <v>294.10000000000002</v>
      </c>
      <c r="I240" s="187">
        <f t="shared" si="20"/>
        <v>9.9999999999965894E-2</v>
      </c>
      <c r="J240" s="189">
        <f t="shared" si="21"/>
        <v>99.966009517335152</v>
      </c>
    </row>
    <row r="241" spans="1:10" ht="51">
      <c r="A241" s="16" t="s">
        <v>90</v>
      </c>
      <c r="B241" s="19" t="s">
        <v>269</v>
      </c>
      <c r="C241" s="20" t="s">
        <v>62</v>
      </c>
      <c r="D241" s="20" t="s">
        <v>72</v>
      </c>
      <c r="E241" s="97" t="s">
        <v>414</v>
      </c>
      <c r="F241" s="97" t="s">
        <v>91</v>
      </c>
      <c r="G241" s="187">
        <f>G242</f>
        <v>294.2</v>
      </c>
      <c r="H241" s="187">
        <f>H242</f>
        <v>294.10000000000002</v>
      </c>
      <c r="I241" s="187">
        <f t="shared" si="20"/>
        <v>9.9999999999965894E-2</v>
      </c>
      <c r="J241" s="189">
        <f t="shared" si="21"/>
        <v>99.966009517335152</v>
      </c>
    </row>
    <row r="242" spans="1:10" ht="25.5">
      <c r="A242" s="16" t="s">
        <v>87</v>
      </c>
      <c r="B242" s="19" t="s">
        <v>269</v>
      </c>
      <c r="C242" s="20" t="s">
        <v>62</v>
      </c>
      <c r="D242" s="20" t="s">
        <v>72</v>
      </c>
      <c r="E242" s="97" t="s">
        <v>414</v>
      </c>
      <c r="F242" s="97" t="s">
        <v>88</v>
      </c>
      <c r="G242" s="187">
        <f>432-137.8</f>
        <v>294.2</v>
      </c>
      <c r="H242" s="187">
        <v>294.10000000000002</v>
      </c>
      <c r="I242" s="187">
        <f t="shared" si="20"/>
        <v>9.9999999999965894E-2</v>
      </c>
      <c r="J242" s="189">
        <f t="shared" si="21"/>
        <v>99.966009517335152</v>
      </c>
    </row>
    <row r="243" spans="1:10">
      <c r="A243" s="16" t="s">
        <v>174</v>
      </c>
      <c r="B243" s="19" t="s">
        <v>269</v>
      </c>
      <c r="C243" s="20" t="s">
        <v>62</v>
      </c>
      <c r="D243" s="20" t="s">
        <v>72</v>
      </c>
      <c r="E243" s="97" t="s">
        <v>415</v>
      </c>
      <c r="F243" s="97"/>
      <c r="G243" s="187">
        <f>G244</f>
        <v>20.2</v>
      </c>
      <c r="H243" s="187">
        <f>H244</f>
        <v>20.100000000000001</v>
      </c>
      <c r="I243" s="187">
        <f t="shared" si="20"/>
        <v>9.9999999999997868E-2</v>
      </c>
      <c r="J243" s="189">
        <f t="shared" si="21"/>
        <v>99.504950495049513</v>
      </c>
    </row>
    <row r="244" spans="1:10" ht="51">
      <c r="A244" s="16" t="s">
        <v>90</v>
      </c>
      <c r="B244" s="19" t="s">
        <v>269</v>
      </c>
      <c r="C244" s="20" t="s">
        <v>62</v>
      </c>
      <c r="D244" s="20" t="s">
        <v>72</v>
      </c>
      <c r="E244" s="97" t="s">
        <v>415</v>
      </c>
      <c r="F244" s="97" t="s">
        <v>91</v>
      </c>
      <c r="G244" s="187">
        <f>G245</f>
        <v>20.2</v>
      </c>
      <c r="H244" s="187">
        <f>H245</f>
        <v>20.100000000000001</v>
      </c>
      <c r="I244" s="187">
        <f t="shared" si="20"/>
        <v>9.9999999999997868E-2</v>
      </c>
      <c r="J244" s="189">
        <f t="shared" si="21"/>
        <v>99.504950495049513</v>
      </c>
    </row>
    <row r="245" spans="1:10" ht="25.5">
      <c r="A245" s="16" t="s">
        <v>87</v>
      </c>
      <c r="B245" s="19" t="s">
        <v>269</v>
      </c>
      <c r="C245" s="20" t="s">
        <v>62</v>
      </c>
      <c r="D245" s="20" t="s">
        <v>72</v>
      </c>
      <c r="E245" s="97" t="s">
        <v>415</v>
      </c>
      <c r="F245" s="97" t="s">
        <v>88</v>
      </c>
      <c r="G245" s="187">
        <f>10+10.2</f>
        <v>20.2</v>
      </c>
      <c r="H245" s="187">
        <v>20.100000000000001</v>
      </c>
      <c r="I245" s="187">
        <f t="shared" si="20"/>
        <v>9.9999999999997868E-2</v>
      </c>
      <c r="J245" s="189">
        <f t="shared" si="21"/>
        <v>99.504950495049513</v>
      </c>
    </row>
    <row r="246" spans="1:10">
      <c r="A246" s="15" t="s">
        <v>3</v>
      </c>
      <c r="B246" s="35" t="s">
        <v>269</v>
      </c>
      <c r="C246" s="31" t="s">
        <v>62</v>
      </c>
      <c r="D246" s="31" t="s">
        <v>70</v>
      </c>
      <c r="E246" s="100"/>
      <c r="F246" s="100"/>
      <c r="G246" s="185">
        <f t="shared" ref="G246:H249" si="22">G247</f>
        <v>200.50000000000003</v>
      </c>
      <c r="H246" s="185">
        <f t="shared" si="22"/>
        <v>0</v>
      </c>
      <c r="I246" s="187">
        <f t="shared" si="20"/>
        <v>200.50000000000003</v>
      </c>
      <c r="J246" s="189">
        <f t="shared" si="21"/>
        <v>0</v>
      </c>
    </row>
    <row r="247" spans="1:10">
      <c r="A247" s="16" t="s">
        <v>3</v>
      </c>
      <c r="B247" s="19" t="s">
        <v>269</v>
      </c>
      <c r="C247" s="20" t="s">
        <v>62</v>
      </c>
      <c r="D247" s="20" t="s">
        <v>70</v>
      </c>
      <c r="E247" s="97" t="s">
        <v>440</v>
      </c>
      <c r="F247" s="97"/>
      <c r="G247" s="187">
        <f t="shared" si="22"/>
        <v>200.50000000000003</v>
      </c>
      <c r="H247" s="187">
        <f t="shared" si="22"/>
        <v>0</v>
      </c>
      <c r="I247" s="187">
        <f t="shared" si="20"/>
        <v>200.50000000000003</v>
      </c>
      <c r="J247" s="189">
        <f t="shared" si="21"/>
        <v>0</v>
      </c>
    </row>
    <row r="248" spans="1:10">
      <c r="A248" s="16" t="s">
        <v>267</v>
      </c>
      <c r="B248" s="19" t="s">
        <v>269</v>
      </c>
      <c r="C248" s="20" t="s">
        <v>62</v>
      </c>
      <c r="D248" s="20" t="s">
        <v>70</v>
      </c>
      <c r="E248" s="97" t="s">
        <v>441</v>
      </c>
      <c r="F248" s="97"/>
      <c r="G248" s="187">
        <f t="shared" si="22"/>
        <v>200.50000000000003</v>
      </c>
      <c r="H248" s="187">
        <f t="shared" si="22"/>
        <v>0</v>
      </c>
      <c r="I248" s="187">
        <f t="shared" si="20"/>
        <v>200.50000000000003</v>
      </c>
      <c r="J248" s="189">
        <f t="shared" si="21"/>
        <v>0</v>
      </c>
    </row>
    <row r="249" spans="1:10">
      <c r="A249" s="16" t="s">
        <v>108</v>
      </c>
      <c r="B249" s="19" t="s">
        <v>269</v>
      </c>
      <c r="C249" s="20" t="s">
        <v>62</v>
      </c>
      <c r="D249" s="20" t="s">
        <v>70</v>
      </c>
      <c r="E249" s="97" t="s">
        <v>441</v>
      </c>
      <c r="F249" s="97" t="s">
        <v>109</v>
      </c>
      <c r="G249" s="187">
        <f t="shared" si="22"/>
        <v>200.50000000000003</v>
      </c>
      <c r="H249" s="187">
        <f t="shared" si="22"/>
        <v>0</v>
      </c>
      <c r="I249" s="187">
        <f t="shared" si="20"/>
        <v>200.50000000000003</v>
      </c>
      <c r="J249" s="189">
        <f t="shared" si="21"/>
        <v>0</v>
      </c>
    </row>
    <row r="250" spans="1:10">
      <c r="A250" s="16" t="s">
        <v>115</v>
      </c>
      <c r="B250" s="19" t="s">
        <v>269</v>
      </c>
      <c r="C250" s="20" t="s">
        <v>62</v>
      </c>
      <c r="D250" s="20" t="s">
        <v>70</v>
      </c>
      <c r="E250" s="97" t="s">
        <v>441</v>
      </c>
      <c r="F250" s="97" t="s">
        <v>116</v>
      </c>
      <c r="G250" s="187">
        <f>264.1-63.6</f>
        <v>200.50000000000003</v>
      </c>
      <c r="H250" s="187"/>
      <c r="I250" s="187">
        <f t="shared" si="20"/>
        <v>200.50000000000003</v>
      </c>
      <c r="J250" s="189">
        <f t="shared" si="21"/>
        <v>0</v>
      </c>
    </row>
    <row r="251" spans="1:10" ht="25.5">
      <c r="A251" s="15" t="s">
        <v>196</v>
      </c>
      <c r="B251" s="35" t="s">
        <v>269</v>
      </c>
      <c r="C251" s="31" t="s">
        <v>83</v>
      </c>
      <c r="D251" s="31" t="s">
        <v>33</v>
      </c>
      <c r="E251" s="100"/>
      <c r="F251" s="100"/>
      <c r="G251" s="185">
        <f t="shared" ref="G251:H255" si="23">G252</f>
        <v>12</v>
      </c>
      <c r="H251" s="185">
        <f t="shared" si="23"/>
        <v>12</v>
      </c>
      <c r="I251" s="187">
        <f t="shared" si="20"/>
        <v>0</v>
      </c>
      <c r="J251" s="189">
        <f t="shared" si="21"/>
        <v>100</v>
      </c>
    </row>
    <row r="252" spans="1:10" ht="25.5">
      <c r="A252" s="15" t="s">
        <v>657</v>
      </c>
      <c r="B252" s="35" t="s">
        <v>269</v>
      </c>
      <c r="C252" s="31" t="s">
        <v>83</v>
      </c>
      <c r="D252" s="31" t="s">
        <v>62</v>
      </c>
      <c r="E252" s="100"/>
      <c r="F252" s="100"/>
      <c r="G252" s="187">
        <f t="shared" si="23"/>
        <v>12</v>
      </c>
      <c r="H252" s="187">
        <f t="shared" si="23"/>
        <v>12</v>
      </c>
      <c r="I252" s="187">
        <f t="shared" si="20"/>
        <v>0</v>
      </c>
      <c r="J252" s="189">
        <f t="shared" si="21"/>
        <v>100</v>
      </c>
    </row>
    <row r="253" spans="1:10">
      <c r="A253" s="16" t="s">
        <v>84</v>
      </c>
      <c r="B253" s="19" t="s">
        <v>269</v>
      </c>
      <c r="C253" s="20" t="s">
        <v>83</v>
      </c>
      <c r="D253" s="20" t="s">
        <v>62</v>
      </c>
      <c r="E253" s="97" t="s">
        <v>442</v>
      </c>
      <c r="F253" s="97"/>
      <c r="G253" s="187">
        <f t="shared" si="23"/>
        <v>12</v>
      </c>
      <c r="H253" s="187">
        <f t="shared" si="23"/>
        <v>12</v>
      </c>
      <c r="I253" s="187">
        <f t="shared" si="20"/>
        <v>0</v>
      </c>
      <c r="J253" s="189">
        <f t="shared" si="21"/>
        <v>100</v>
      </c>
    </row>
    <row r="254" spans="1:10">
      <c r="A254" s="16" t="s">
        <v>85</v>
      </c>
      <c r="B254" s="19" t="s">
        <v>269</v>
      </c>
      <c r="C254" s="20" t="s">
        <v>83</v>
      </c>
      <c r="D254" s="20" t="s">
        <v>62</v>
      </c>
      <c r="E254" s="97" t="s">
        <v>443</v>
      </c>
      <c r="F254" s="97"/>
      <c r="G254" s="187">
        <f t="shared" si="23"/>
        <v>12</v>
      </c>
      <c r="H254" s="187">
        <f t="shared" si="23"/>
        <v>12</v>
      </c>
      <c r="I254" s="187">
        <f t="shared" si="20"/>
        <v>0</v>
      </c>
      <c r="J254" s="189">
        <f t="shared" si="21"/>
        <v>100</v>
      </c>
    </row>
    <row r="255" spans="1:10">
      <c r="A255" s="16" t="s">
        <v>559</v>
      </c>
      <c r="B255" s="19" t="s">
        <v>269</v>
      </c>
      <c r="C255" s="20" t="s">
        <v>83</v>
      </c>
      <c r="D255" s="20" t="s">
        <v>62</v>
      </c>
      <c r="E255" s="97" t="s">
        <v>443</v>
      </c>
      <c r="F255" s="97" t="s">
        <v>105</v>
      </c>
      <c r="G255" s="187">
        <f t="shared" si="23"/>
        <v>12</v>
      </c>
      <c r="H255" s="187">
        <f t="shared" si="23"/>
        <v>12</v>
      </c>
      <c r="I255" s="187">
        <f t="shared" si="20"/>
        <v>0</v>
      </c>
      <c r="J255" s="189">
        <f t="shared" si="21"/>
        <v>100</v>
      </c>
    </row>
    <row r="256" spans="1:10">
      <c r="A256" s="16" t="s">
        <v>106</v>
      </c>
      <c r="B256" s="19" t="s">
        <v>269</v>
      </c>
      <c r="C256" s="20" t="s">
        <v>83</v>
      </c>
      <c r="D256" s="20" t="s">
        <v>62</v>
      </c>
      <c r="E256" s="97" t="s">
        <v>443</v>
      </c>
      <c r="F256" s="97" t="s">
        <v>107</v>
      </c>
      <c r="G256" s="187">
        <v>12</v>
      </c>
      <c r="H256" s="187">
        <v>12</v>
      </c>
      <c r="I256" s="187">
        <f t="shared" si="20"/>
        <v>0</v>
      </c>
      <c r="J256" s="189">
        <f t="shared" si="21"/>
        <v>100</v>
      </c>
    </row>
    <row r="257" spans="1:10">
      <c r="A257" s="14" t="s">
        <v>130</v>
      </c>
      <c r="B257" s="35" t="s">
        <v>270</v>
      </c>
      <c r="C257" s="31"/>
      <c r="D257" s="31"/>
      <c r="E257" s="100"/>
      <c r="F257" s="100"/>
      <c r="G257" s="185">
        <f>G258</f>
        <v>7909.5</v>
      </c>
      <c r="H257" s="185">
        <f>H258</f>
        <v>7903.2000000000007</v>
      </c>
      <c r="I257" s="187">
        <f t="shared" si="20"/>
        <v>6.2999999999992724</v>
      </c>
      <c r="J257" s="189">
        <f t="shared" si="21"/>
        <v>99.920348947468241</v>
      </c>
    </row>
    <row r="258" spans="1:10">
      <c r="A258" s="14" t="s">
        <v>2</v>
      </c>
      <c r="B258" s="35" t="s">
        <v>270</v>
      </c>
      <c r="C258" s="31" t="s">
        <v>62</v>
      </c>
      <c r="D258" s="31" t="s">
        <v>33</v>
      </c>
      <c r="E258" s="100"/>
      <c r="F258" s="100"/>
      <c r="G258" s="185">
        <f>G259+G280</f>
        <v>7909.5</v>
      </c>
      <c r="H258" s="185">
        <f>H259+H280</f>
        <v>7903.2000000000007</v>
      </c>
      <c r="I258" s="187">
        <f t="shared" si="20"/>
        <v>6.2999999999992724</v>
      </c>
      <c r="J258" s="189">
        <f t="shared" si="21"/>
        <v>99.920348947468241</v>
      </c>
    </row>
    <row r="259" spans="1:10" ht="38.25">
      <c r="A259" s="14" t="s">
        <v>18</v>
      </c>
      <c r="B259" s="35" t="s">
        <v>270</v>
      </c>
      <c r="C259" s="31" t="s">
        <v>62</v>
      </c>
      <c r="D259" s="31" t="s">
        <v>66</v>
      </c>
      <c r="E259" s="100"/>
      <c r="F259" s="100"/>
      <c r="G259" s="185">
        <f>G260</f>
        <v>3940.8</v>
      </c>
      <c r="H259" s="185">
        <f>H260</f>
        <v>3937.1000000000004</v>
      </c>
      <c r="I259" s="187">
        <f t="shared" si="20"/>
        <v>3.6999999999998181</v>
      </c>
      <c r="J259" s="189">
        <f t="shared" si="21"/>
        <v>99.906110434429564</v>
      </c>
    </row>
    <row r="260" spans="1:10" ht="38.25">
      <c r="A260" s="16" t="s">
        <v>275</v>
      </c>
      <c r="B260" s="19" t="s">
        <v>270</v>
      </c>
      <c r="C260" s="20" t="s">
        <v>62</v>
      </c>
      <c r="D260" s="20" t="s">
        <v>66</v>
      </c>
      <c r="E260" s="97" t="s">
        <v>173</v>
      </c>
      <c r="F260" s="97"/>
      <c r="G260" s="187">
        <f>G261+G265</f>
        <v>3940.8</v>
      </c>
      <c r="H260" s="187">
        <f>H261+H265</f>
        <v>3937.1000000000004</v>
      </c>
      <c r="I260" s="187">
        <f t="shared" si="20"/>
        <v>3.6999999999998181</v>
      </c>
      <c r="J260" s="189">
        <f t="shared" si="21"/>
        <v>99.906110434429564</v>
      </c>
    </row>
    <row r="261" spans="1:10" ht="25.5">
      <c r="A261" s="29" t="s">
        <v>135</v>
      </c>
      <c r="B261" s="19" t="s">
        <v>270</v>
      </c>
      <c r="C261" s="20" t="s">
        <v>62</v>
      </c>
      <c r="D261" s="20" t="s">
        <v>66</v>
      </c>
      <c r="E261" s="97" t="s">
        <v>444</v>
      </c>
      <c r="F261" s="97"/>
      <c r="G261" s="187">
        <f t="shared" ref="G261:H263" si="24">G262</f>
        <v>2370.6</v>
      </c>
      <c r="H261" s="187">
        <f t="shared" si="24"/>
        <v>2369</v>
      </c>
      <c r="I261" s="187">
        <f t="shared" si="20"/>
        <v>1.5999999999999091</v>
      </c>
      <c r="J261" s="189">
        <f t="shared" si="21"/>
        <v>99.932506538429095</v>
      </c>
    </row>
    <row r="262" spans="1:10" ht="25.5">
      <c r="A262" s="16" t="s">
        <v>175</v>
      </c>
      <c r="B262" s="19" t="s">
        <v>270</v>
      </c>
      <c r="C262" s="20" t="s">
        <v>62</v>
      </c>
      <c r="D262" s="20" t="s">
        <v>66</v>
      </c>
      <c r="E262" s="97" t="s">
        <v>445</v>
      </c>
      <c r="F262" s="97"/>
      <c r="G262" s="187">
        <f t="shared" si="24"/>
        <v>2370.6</v>
      </c>
      <c r="H262" s="187">
        <f t="shared" si="24"/>
        <v>2369</v>
      </c>
      <c r="I262" s="187">
        <f t="shared" si="20"/>
        <v>1.5999999999999091</v>
      </c>
      <c r="J262" s="189">
        <f t="shared" si="21"/>
        <v>99.932506538429095</v>
      </c>
    </row>
    <row r="263" spans="1:10" ht="51">
      <c r="A263" s="16" t="s">
        <v>90</v>
      </c>
      <c r="B263" s="19" t="s">
        <v>270</v>
      </c>
      <c r="C263" s="20" t="s">
        <v>62</v>
      </c>
      <c r="D263" s="20" t="s">
        <v>66</v>
      </c>
      <c r="E263" s="97" t="s">
        <v>445</v>
      </c>
      <c r="F263" s="97" t="s">
        <v>91</v>
      </c>
      <c r="G263" s="187">
        <f t="shared" si="24"/>
        <v>2370.6</v>
      </c>
      <c r="H263" s="187">
        <f t="shared" si="24"/>
        <v>2369</v>
      </c>
      <c r="I263" s="187">
        <f t="shared" si="20"/>
        <v>1.5999999999999091</v>
      </c>
      <c r="J263" s="189">
        <f t="shared" si="21"/>
        <v>99.932506538429095</v>
      </c>
    </row>
    <row r="264" spans="1:10" ht="25.5">
      <c r="A264" s="16" t="s">
        <v>87</v>
      </c>
      <c r="B264" s="19" t="s">
        <v>270</v>
      </c>
      <c r="C264" s="20" t="s">
        <v>62</v>
      </c>
      <c r="D264" s="20" t="s">
        <v>66</v>
      </c>
      <c r="E264" s="97" t="s">
        <v>445</v>
      </c>
      <c r="F264" s="97" t="s">
        <v>88</v>
      </c>
      <c r="G264" s="187">
        <f>2355.6+15</f>
        <v>2370.6</v>
      </c>
      <c r="H264" s="187">
        <f>1914.3+454.7</f>
        <v>2369</v>
      </c>
      <c r="I264" s="187">
        <f t="shared" si="20"/>
        <v>1.5999999999999091</v>
      </c>
      <c r="J264" s="189">
        <f t="shared" si="21"/>
        <v>99.932506538429095</v>
      </c>
    </row>
    <row r="265" spans="1:10">
      <c r="A265" s="16" t="s">
        <v>46</v>
      </c>
      <c r="B265" s="19" t="s">
        <v>270</v>
      </c>
      <c r="C265" s="20" t="s">
        <v>62</v>
      </c>
      <c r="D265" s="20" t="s">
        <v>66</v>
      </c>
      <c r="E265" s="97" t="s">
        <v>179</v>
      </c>
      <c r="F265" s="97"/>
      <c r="G265" s="187">
        <f>G266+G269+G274+G277</f>
        <v>1570.2</v>
      </c>
      <c r="H265" s="187">
        <f>H266+H269+H274+H277</f>
        <v>1568.1000000000001</v>
      </c>
      <c r="I265" s="187">
        <f t="shared" si="20"/>
        <v>2.0999999999999091</v>
      </c>
      <c r="J265" s="189">
        <f t="shared" si="21"/>
        <v>99.866259075277043</v>
      </c>
    </row>
    <row r="266" spans="1:10" ht="25.5">
      <c r="A266" s="16" t="s">
        <v>175</v>
      </c>
      <c r="B266" s="19" t="s">
        <v>270</v>
      </c>
      <c r="C266" s="20" t="s">
        <v>62</v>
      </c>
      <c r="D266" s="20" t="s">
        <v>66</v>
      </c>
      <c r="E266" s="97" t="s">
        <v>180</v>
      </c>
      <c r="F266" s="97"/>
      <c r="G266" s="187">
        <f>G267</f>
        <v>1058.5999999999999</v>
      </c>
      <c r="H266" s="187">
        <f>H267</f>
        <v>1058.2</v>
      </c>
      <c r="I266" s="187">
        <f t="shared" si="20"/>
        <v>0.39999999999986358</v>
      </c>
      <c r="J266" s="189">
        <f t="shared" si="21"/>
        <v>99.962214245229561</v>
      </c>
    </row>
    <row r="267" spans="1:10" ht="51">
      <c r="A267" s="16" t="s">
        <v>90</v>
      </c>
      <c r="B267" s="19" t="s">
        <v>270</v>
      </c>
      <c r="C267" s="20" t="s">
        <v>62</v>
      </c>
      <c r="D267" s="20" t="s">
        <v>66</v>
      </c>
      <c r="E267" s="97" t="s">
        <v>180</v>
      </c>
      <c r="F267" s="97" t="s">
        <v>91</v>
      </c>
      <c r="G267" s="187">
        <f>G268</f>
        <v>1058.5999999999999</v>
      </c>
      <c r="H267" s="187">
        <f>H268</f>
        <v>1058.2</v>
      </c>
      <c r="I267" s="187">
        <f t="shared" si="20"/>
        <v>0.39999999999986358</v>
      </c>
      <c r="J267" s="189">
        <f t="shared" si="21"/>
        <v>99.962214245229561</v>
      </c>
    </row>
    <row r="268" spans="1:10" ht="25.5">
      <c r="A268" s="16" t="s">
        <v>87</v>
      </c>
      <c r="B268" s="19" t="s">
        <v>270</v>
      </c>
      <c r="C268" s="20" t="s">
        <v>62</v>
      </c>
      <c r="D268" s="20" t="s">
        <v>66</v>
      </c>
      <c r="E268" s="97" t="s">
        <v>180</v>
      </c>
      <c r="F268" s="97" t="s">
        <v>88</v>
      </c>
      <c r="G268" s="187">
        <f>1041.1+17.5</f>
        <v>1058.5999999999999</v>
      </c>
      <c r="H268" s="187">
        <v>1058.2</v>
      </c>
      <c r="I268" s="187">
        <f t="shared" si="20"/>
        <v>0.39999999999986358</v>
      </c>
      <c r="J268" s="189">
        <f t="shared" si="21"/>
        <v>99.962214245229561</v>
      </c>
    </row>
    <row r="269" spans="1:10">
      <c r="A269" s="16" t="s">
        <v>176</v>
      </c>
      <c r="B269" s="19" t="s">
        <v>270</v>
      </c>
      <c r="C269" s="20" t="s">
        <v>62</v>
      </c>
      <c r="D269" s="20" t="s">
        <v>66</v>
      </c>
      <c r="E269" s="97" t="s">
        <v>181</v>
      </c>
      <c r="F269" s="97"/>
      <c r="G269" s="187">
        <f>G270+G272</f>
        <v>290.2</v>
      </c>
      <c r="H269" s="187">
        <f>H270+H272</f>
        <v>288.70000000000005</v>
      </c>
      <c r="I269" s="187">
        <f t="shared" si="20"/>
        <v>1.4999999999999432</v>
      </c>
      <c r="J269" s="189">
        <f t="shared" si="21"/>
        <v>99.483115093039302</v>
      </c>
    </row>
    <row r="270" spans="1:10" ht="25.5">
      <c r="A270" s="16" t="s">
        <v>331</v>
      </c>
      <c r="B270" s="19" t="s">
        <v>270</v>
      </c>
      <c r="C270" s="20" t="s">
        <v>62</v>
      </c>
      <c r="D270" s="20" t="s">
        <v>66</v>
      </c>
      <c r="E270" s="97" t="s">
        <v>181</v>
      </c>
      <c r="F270" s="97" t="s">
        <v>92</v>
      </c>
      <c r="G270" s="187">
        <f>G271</f>
        <v>263.5</v>
      </c>
      <c r="H270" s="187">
        <f>H271</f>
        <v>262.10000000000002</v>
      </c>
      <c r="I270" s="187">
        <f t="shared" si="20"/>
        <v>1.3999999999999773</v>
      </c>
      <c r="J270" s="189">
        <f t="shared" si="21"/>
        <v>99.468690702087287</v>
      </c>
    </row>
    <row r="271" spans="1:10" ht="25.5">
      <c r="A271" s="16" t="s">
        <v>556</v>
      </c>
      <c r="B271" s="19" t="s">
        <v>270</v>
      </c>
      <c r="C271" s="20" t="s">
        <v>62</v>
      </c>
      <c r="D271" s="20" t="s">
        <v>66</v>
      </c>
      <c r="E271" s="97" t="s">
        <v>181</v>
      </c>
      <c r="F271" s="97" t="s">
        <v>89</v>
      </c>
      <c r="G271" s="187">
        <f>329.6-66.1</f>
        <v>263.5</v>
      </c>
      <c r="H271" s="187">
        <v>262.10000000000002</v>
      </c>
      <c r="I271" s="187">
        <f t="shared" ref="I271:I334" si="25">G271-H271</f>
        <v>1.3999999999999773</v>
      </c>
      <c r="J271" s="189">
        <f t="shared" ref="J271:J334" si="26">H271/G271*100</f>
        <v>99.468690702087287</v>
      </c>
    </row>
    <row r="272" spans="1:10">
      <c r="A272" s="16" t="s">
        <v>99</v>
      </c>
      <c r="B272" s="19" t="s">
        <v>270</v>
      </c>
      <c r="C272" s="20" t="s">
        <v>62</v>
      </c>
      <c r="D272" s="20" t="s">
        <v>66</v>
      </c>
      <c r="E272" s="97" t="s">
        <v>181</v>
      </c>
      <c r="F272" s="121">
        <v>300</v>
      </c>
      <c r="G272" s="187">
        <f>G273</f>
        <v>26.7</v>
      </c>
      <c r="H272" s="187">
        <f>H273</f>
        <v>26.6</v>
      </c>
      <c r="I272" s="187">
        <f t="shared" si="25"/>
        <v>9.9999999999997868E-2</v>
      </c>
      <c r="J272" s="189">
        <f t="shared" si="26"/>
        <v>99.625468164794015</v>
      </c>
    </row>
    <row r="273" spans="1:10" ht="25.5">
      <c r="A273" s="28" t="s">
        <v>114</v>
      </c>
      <c r="B273" s="19" t="s">
        <v>270</v>
      </c>
      <c r="C273" s="20" t="s">
        <v>62</v>
      </c>
      <c r="D273" s="20" t="s">
        <v>66</v>
      </c>
      <c r="E273" s="97" t="s">
        <v>181</v>
      </c>
      <c r="F273" s="121">
        <v>320</v>
      </c>
      <c r="G273" s="187">
        <v>26.7</v>
      </c>
      <c r="H273" s="187">
        <v>26.6</v>
      </c>
      <c r="I273" s="187">
        <f t="shared" si="25"/>
        <v>9.9999999999997868E-2</v>
      </c>
      <c r="J273" s="189">
        <f t="shared" si="26"/>
        <v>99.625468164794015</v>
      </c>
    </row>
    <row r="274" spans="1:10" ht="63.75">
      <c r="A274" s="16" t="s">
        <v>202</v>
      </c>
      <c r="B274" s="19" t="s">
        <v>270</v>
      </c>
      <c r="C274" s="20" t="s">
        <v>62</v>
      </c>
      <c r="D274" s="20" t="s">
        <v>66</v>
      </c>
      <c r="E274" s="97" t="s">
        <v>414</v>
      </c>
      <c r="F274" s="97"/>
      <c r="G274" s="187">
        <f>G275</f>
        <v>209</v>
      </c>
      <c r="H274" s="187">
        <f>H275</f>
        <v>208.9</v>
      </c>
      <c r="I274" s="187">
        <f t="shared" si="25"/>
        <v>9.9999999999994316E-2</v>
      </c>
      <c r="J274" s="189">
        <f t="shared" si="26"/>
        <v>99.952153110047846</v>
      </c>
    </row>
    <row r="275" spans="1:10" ht="51">
      <c r="A275" s="16" t="s">
        <v>90</v>
      </c>
      <c r="B275" s="19" t="s">
        <v>270</v>
      </c>
      <c r="C275" s="20" t="s">
        <v>62</v>
      </c>
      <c r="D275" s="20" t="s">
        <v>66</v>
      </c>
      <c r="E275" s="97" t="s">
        <v>414</v>
      </c>
      <c r="F275" s="97" t="s">
        <v>91</v>
      </c>
      <c r="G275" s="187">
        <f>G276</f>
        <v>209</v>
      </c>
      <c r="H275" s="187">
        <f>H276</f>
        <v>208.9</v>
      </c>
      <c r="I275" s="187">
        <f t="shared" si="25"/>
        <v>9.9999999999994316E-2</v>
      </c>
      <c r="J275" s="189">
        <f t="shared" si="26"/>
        <v>99.952153110047846</v>
      </c>
    </row>
    <row r="276" spans="1:10" ht="25.5">
      <c r="A276" s="16" t="s">
        <v>87</v>
      </c>
      <c r="B276" s="19" t="s">
        <v>270</v>
      </c>
      <c r="C276" s="20" t="s">
        <v>62</v>
      </c>
      <c r="D276" s="20" t="s">
        <v>66</v>
      </c>
      <c r="E276" s="97" t="s">
        <v>414</v>
      </c>
      <c r="F276" s="97" t="s">
        <v>88</v>
      </c>
      <c r="G276" s="187">
        <f>150+72-13</f>
        <v>209</v>
      </c>
      <c r="H276" s="187">
        <v>208.9</v>
      </c>
      <c r="I276" s="187">
        <f t="shared" si="25"/>
        <v>9.9999999999994316E-2</v>
      </c>
      <c r="J276" s="189">
        <f t="shared" si="26"/>
        <v>99.952153110047846</v>
      </c>
    </row>
    <row r="277" spans="1:10">
      <c r="A277" s="28" t="s">
        <v>174</v>
      </c>
      <c r="B277" s="19" t="s">
        <v>270</v>
      </c>
      <c r="C277" s="20" t="s">
        <v>62</v>
      </c>
      <c r="D277" s="20" t="s">
        <v>66</v>
      </c>
      <c r="E277" s="97" t="s">
        <v>415</v>
      </c>
      <c r="F277" s="97"/>
      <c r="G277" s="187">
        <f>G278</f>
        <v>12.4</v>
      </c>
      <c r="H277" s="187">
        <f>H278</f>
        <v>12.3</v>
      </c>
      <c r="I277" s="187">
        <f t="shared" si="25"/>
        <v>9.9999999999999645E-2</v>
      </c>
      <c r="J277" s="189">
        <f t="shared" si="26"/>
        <v>99.193548387096769</v>
      </c>
    </row>
    <row r="278" spans="1:10" ht="51">
      <c r="A278" s="28" t="s">
        <v>90</v>
      </c>
      <c r="B278" s="19" t="s">
        <v>270</v>
      </c>
      <c r="C278" s="20" t="s">
        <v>62</v>
      </c>
      <c r="D278" s="20" t="s">
        <v>66</v>
      </c>
      <c r="E278" s="97" t="s">
        <v>415</v>
      </c>
      <c r="F278" s="97" t="s">
        <v>91</v>
      </c>
      <c r="G278" s="187">
        <f>G279</f>
        <v>12.4</v>
      </c>
      <c r="H278" s="187">
        <f>H279</f>
        <v>12.3</v>
      </c>
      <c r="I278" s="187">
        <f t="shared" si="25"/>
        <v>9.9999999999999645E-2</v>
      </c>
      <c r="J278" s="189">
        <f t="shared" si="26"/>
        <v>99.193548387096769</v>
      </c>
    </row>
    <row r="279" spans="1:10" ht="25.5">
      <c r="A279" s="28" t="s">
        <v>87</v>
      </c>
      <c r="B279" s="19" t="s">
        <v>270</v>
      </c>
      <c r="C279" s="20" t="s">
        <v>62</v>
      </c>
      <c r="D279" s="20" t="s">
        <v>66</v>
      </c>
      <c r="E279" s="97" t="s">
        <v>415</v>
      </c>
      <c r="F279" s="97" t="s">
        <v>88</v>
      </c>
      <c r="G279" s="187">
        <f>14-1.6</f>
        <v>12.4</v>
      </c>
      <c r="H279" s="187">
        <v>12.3</v>
      </c>
      <c r="I279" s="187">
        <f t="shared" si="25"/>
        <v>9.9999999999999645E-2</v>
      </c>
      <c r="J279" s="189">
        <f t="shared" si="26"/>
        <v>99.193548387096769</v>
      </c>
    </row>
    <row r="280" spans="1:10" ht="38.25">
      <c r="A280" s="15" t="s">
        <v>75</v>
      </c>
      <c r="B280" s="35" t="s">
        <v>270</v>
      </c>
      <c r="C280" s="31" t="s">
        <v>62</v>
      </c>
      <c r="D280" s="31" t="s">
        <v>72</v>
      </c>
      <c r="E280" s="100"/>
      <c r="F280" s="100"/>
      <c r="G280" s="185">
        <f>G281</f>
        <v>3968.7</v>
      </c>
      <c r="H280" s="185">
        <f>H281</f>
        <v>3966.1</v>
      </c>
      <c r="I280" s="187">
        <f t="shared" si="25"/>
        <v>2.5999999999999091</v>
      </c>
      <c r="J280" s="189">
        <f t="shared" si="26"/>
        <v>99.934487363620335</v>
      </c>
    </row>
    <row r="281" spans="1:10" ht="38.25">
      <c r="A281" s="16" t="s">
        <v>275</v>
      </c>
      <c r="B281" s="19" t="s">
        <v>270</v>
      </c>
      <c r="C281" s="20" t="s">
        <v>62</v>
      </c>
      <c r="D281" s="20" t="s">
        <v>72</v>
      </c>
      <c r="E281" s="97" t="s">
        <v>173</v>
      </c>
      <c r="F281" s="97"/>
      <c r="G281" s="187">
        <f>G282+G286</f>
        <v>3968.7</v>
      </c>
      <c r="H281" s="187">
        <f>H282+H286</f>
        <v>3966.1</v>
      </c>
      <c r="I281" s="187">
        <f t="shared" si="25"/>
        <v>2.5999999999999091</v>
      </c>
      <c r="J281" s="189">
        <f t="shared" si="26"/>
        <v>99.934487363620335</v>
      </c>
    </row>
    <row r="282" spans="1:10" ht="25.5">
      <c r="A282" s="29" t="s">
        <v>19</v>
      </c>
      <c r="B282" s="19" t="s">
        <v>270</v>
      </c>
      <c r="C282" s="20" t="s">
        <v>62</v>
      </c>
      <c r="D282" s="20" t="s">
        <v>72</v>
      </c>
      <c r="E282" s="97" t="s">
        <v>177</v>
      </c>
      <c r="F282" s="97"/>
      <c r="G282" s="187">
        <f t="shared" ref="G282:H284" si="27">G283</f>
        <v>3837</v>
      </c>
      <c r="H282" s="187">
        <f t="shared" si="27"/>
        <v>3835.7</v>
      </c>
      <c r="I282" s="187">
        <f t="shared" si="25"/>
        <v>1.3000000000001819</v>
      </c>
      <c r="J282" s="189">
        <f t="shared" si="26"/>
        <v>99.966119364086524</v>
      </c>
    </row>
    <row r="283" spans="1:10" ht="25.5">
      <c r="A283" s="16" t="s">
        <v>175</v>
      </c>
      <c r="B283" s="19" t="s">
        <v>270</v>
      </c>
      <c r="C283" s="20" t="s">
        <v>62</v>
      </c>
      <c r="D283" s="20" t="s">
        <v>72</v>
      </c>
      <c r="E283" s="97" t="s">
        <v>178</v>
      </c>
      <c r="F283" s="97"/>
      <c r="G283" s="187">
        <f t="shared" si="27"/>
        <v>3837</v>
      </c>
      <c r="H283" s="187">
        <f t="shared" si="27"/>
        <v>3835.7</v>
      </c>
      <c r="I283" s="187">
        <f t="shared" si="25"/>
        <v>1.3000000000001819</v>
      </c>
      <c r="J283" s="189">
        <f t="shared" si="26"/>
        <v>99.966119364086524</v>
      </c>
    </row>
    <row r="284" spans="1:10" ht="51">
      <c r="A284" s="16" t="s">
        <v>90</v>
      </c>
      <c r="B284" s="19" t="s">
        <v>270</v>
      </c>
      <c r="C284" s="20" t="s">
        <v>62</v>
      </c>
      <c r="D284" s="20" t="s">
        <v>72</v>
      </c>
      <c r="E284" s="97" t="s">
        <v>178</v>
      </c>
      <c r="F284" s="97" t="s">
        <v>91</v>
      </c>
      <c r="G284" s="187">
        <f t="shared" si="27"/>
        <v>3837</v>
      </c>
      <c r="H284" s="187">
        <f t="shared" si="27"/>
        <v>3835.7</v>
      </c>
      <c r="I284" s="187">
        <f t="shared" si="25"/>
        <v>1.3000000000001819</v>
      </c>
      <c r="J284" s="189">
        <f t="shared" si="26"/>
        <v>99.966119364086524</v>
      </c>
    </row>
    <row r="285" spans="1:10" ht="25.5">
      <c r="A285" s="16" t="s">
        <v>87</v>
      </c>
      <c r="B285" s="19" t="s">
        <v>270</v>
      </c>
      <c r="C285" s="20" t="s">
        <v>62</v>
      </c>
      <c r="D285" s="20" t="s">
        <v>72</v>
      </c>
      <c r="E285" s="97" t="s">
        <v>178</v>
      </c>
      <c r="F285" s="97" t="s">
        <v>88</v>
      </c>
      <c r="G285" s="187">
        <f>3534+303</f>
        <v>3837</v>
      </c>
      <c r="H285" s="187">
        <f>2979.6+856.1</f>
        <v>3835.7</v>
      </c>
      <c r="I285" s="187">
        <f t="shared" si="25"/>
        <v>1.3000000000001819</v>
      </c>
      <c r="J285" s="189">
        <f t="shared" si="26"/>
        <v>99.966119364086524</v>
      </c>
    </row>
    <row r="286" spans="1:10">
      <c r="A286" s="16" t="s">
        <v>46</v>
      </c>
      <c r="B286" s="19" t="s">
        <v>270</v>
      </c>
      <c r="C286" s="20" t="s">
        <v>62</v>
      </c>
      <c r="D286" s="20" t="s">
        <v>72</v>
      </c>
      <c r="E286" s="97" t="s">
        <v>179</v>
      </c>
      <c r="F286" s="97"/>
      <c r="G286" s="187">
        <f>G287+G290+G293+G296</f>
        <v>131.69999999999999</v>
      </c>
      <c r="H286" s="187">
        <f>H287+H290+H293+H296</f>
        <v>130.39999999999998</v>
      </c>
      <c r="I286" s="187">
        <f t="shared" si="25"/>
        <v>1.3000000000000114</v>
      </c>
      <c r="J286" s="189">
        <f t="shared" si="26"/>
        <v>99.012908124525424</v>
      </c>
    </row>
    <row r="287" spans="1:10" ht="25.5">
      <c r="A287" s="16" t="s">
        <v>175</v>
      </c>
      <c r="B287" s="19" t="s">
        <v>270</v>
      </c>
      <c r="C287" s="20" t="s">
        <v>62</v>
      </c>
      <c r="D287" s="20" t="s">
        <v>72</v>
      </c>
      <c r="E287" s="97" t="s">
        <v>180</v>
      </c>
      <c r="F287" s="97"/>
      <c r="G287" s="187">
        <f>G288</f>
        <v>6.6</v>
      </c>
      <c r="H287" s="187">
        <f>H288</f>
        <v>6.5</v>
      </c>
      <c r="I287" s="187">
        <f t="shared" si="25"/>
        <v>9.9999999999999645E-2</v>
      </c>
      <c r="J287" s="189">
        <f t="shared" si="26"/>
        <v>98.484848484848484</v>
      </c>
    </row>
    <row r="288" spans="1:10" ht="51">
      <c r="A288" s="16" t="s">
        <v>90</v>
      </c>
      <c r="B288" s="19" t="s">
        <v>270</v>
      </c>
      <c r="C288" s="20" t="s">
        <v>62</v>
      </c>
      <c r="D288" s="20" t="s">
        <v>72</v>
      </c>
      <c r="E288" s="97" t="s">
        <v>180</v>
      </c>
      <c r="F288" s="97" t="s">
        <v>91</v>
      </c>
      <c r="G288" s="187">
        <f>G289</f>
        <v>6.6</v>
      </c>
      <c r="H288" s="187">
        <f>H289</f>
        <v>6.5</v>
      </c>
      <c r="I288" s="187">
        <f t="shared" si="25"/>
        <v>9.9999999999999645E-2</v>
      </c>
      <c r="J288" s="189">
        <f t="shared" si="26"/>
        <v>98.484848484848484</v>
      </c>
    </row>
    <row r="289" spans="1:10" ht="25.5">
      <c r="A289" s="16" t="s">
        <v>87</v>
      </c>
      <c r="B289" s="19" t="s">
        <v>270</v>
      </c>
      <c r="C289" s="20" t="s">
        <v>62</v>
      </c>
      <c r="D289" s="20" t="s">
        <v>72</v>
      </c>
      <c r="E289" s="97" t="s">
        <v>180</v>
      </c>
      <c r="F289" s="97" t="s">
        <v>88</v>
      </c>
      <c r="G289" s="187">
        <f>15.1-8.5</f>
        <v>6.6</v>
      </c>
      <c r="H289" s="187">
        <v>6.5</v>
      </c>
      <c r="I289" s="187">
        <f t="shared" si="25"/>
        <v>9.9999999999999645E-2</v>
      </c>
      <c r="J289" s="189">
        <f t="shared" si="26"/>
        <v>98.484848484848484</v>
      </c>
    </row>
    <row r="290" spans="1:10">
      <c r="A290" s="16" t="s">
        <v>176</v>
      </c>
      <c r="B290" s="19" t="s">
        <v>270</v>
      </c>
      <c r="C290" s="20" t="s">
        <v>62</v>
      </c>
      <c r="D290" s="20" t="s">
        <v>72</v>
      </c>
      <c r="E290" s="97" t="s">
        <v>181</v>
      </c>
      <c r="F290" s="97"/>
      <c r="G290" s="187">
        <f>G291</f>
        <v>63.2</v>
      </c>
      <c r="H290" s="187">
        <f>H291</f>
        <v>62.1</v>
      </c>
      <c r="I290" s="187">
        <f t="shared" si="25"/>
        <v>1.1000000000000014</v>
      </c>
      <c r="J290" s="189">
        <f t="shared" si="26"/>
        <v>98.259493670886073</v>
      </c>
    </row>
    <row r="291" spans="1:10" ht="25.5">
      <c r="A291" s="16" t="s">
        <v>331</v>
      </c>
      <c r="B291" s="19" t="s">
        <v>270</v>
      </c>
      <c r="C291" s="20" t="s">
        <v>62</v>
      </c>
      <c r="D291" s="20" t="s">
        <v>72</v>
      </c>
      <c r="E291" s="97" t="s">
        <v>181</v>
      </c>
      <c r="F291" s="97" t="s">
        <v>92</v>
      </c>
      <c r="G291" s="187">
        <f>G292</f>
        <v>63.2</v>
      </c>
      <c r="H291" s="187">
        <f>H292</f>
        <v>62.1</v>
      </c>
      <c r="I291" s="187">
        <f t="shared" si="25"/>
        <v>1.1000000000000014</v>
      </c>
      <c r="J291" s="189">
        <f t="shared" si="26"/>
        <v>98.259493670886073</v>
      </c>
    </row>
    <row r="292" spans="1:10" ht="25.5">
      <c r="A292" s="16" t="s">
        <v>556</v>
      </c>
      <c r="B292" s="19" t="s">
        <v>270</v>
      </c>
      <c r="C292" s="20" t="s">
        <v>62</v>
      </c>
      <c r="D292" s="20" t="s">
        <v>72</v>
      </c>
      <c r="E292" s="97" t="s">
        <v>181</v>
      </c>
      <c r="F292" s="97" t="s">
        <v>89</v>
      </c>
      <c r="G292" s="187">
        <f>80.4-17.2</f>
        <v>63.2</v>
      </c>
      <c r="H292" s="187">
        <v>62.1</v>
      </c>
      <c r="I292" s="187">
        <f t="shared" si="25"/>
        <v>1.1000000000000014</v>
      </c>
      <c r="J292" s="189">
        <f t="shared" si="26"/>
        <v>98.259493670886073</v>
      </c>
    </row>
    <row r="293" spans="1:10" ht="63.75">
      <c r="A293" s="16" t="s">
        <v>202</v>
      </c>
      <c r="B293" s="19" t="s">
        <v>270</v>
      </c>
      <c r="C293" s="20" t="s">
        <v>62</v>
      </c>
      <c r="D293" s="20" t="s">
        <v>72</v>
      </c>
      <c r="E293" s="97" t="s">
        <v>414</v>
      </c>
      <c r="F293" s="97"/>
      <c r="G293" s="187">
        <f>G294</f>
        <v>39.299999999999997</v>
      </c>
      <c r="H293" s="187">
        <f>H294</f>
        <v>39.299999999999997</v>
      </c>
      <c r="I293" s="187">
        <f t="shared" si="25"/>
        <v>0</v>
      </c>
      <c r="J293" s="189">
        <f t="shared" si="26"/>
        <v>100</v>
      </c>
    </row>
    <row r="294" spans="1:10" ht="51">
      <c r="A294" s="16" t="s">
        <v>90</v>
      </c>
      <c r="B294" s="19" t="s">
        <v>270</v>
      </c>
      <c r="C294" s="20" t="s">
        <v>62</v>
      </c>
      <c r="D294" s="20" t="s">
        <v>72</v>
      </c>
      <c r="E294" s="97" t="s">
        <v>414</v>
      </c>
      <c r="F294" s="97" t="s">
        <v>91</v>
      </c>
      <c r="G294" s="187">
        <f>G295</f>
        <v>39.299999999999997</v>
      </c>
      <c r="H294" s="187">
        <f>H295</f>
        <v>39.299999999999997</v>
      </c>
      <c r="I294" s="187">
        <f t="shared" si="25"/>
        <v>0</v>
      </c>
      <c r="J294" s="189">
        <f t="shared" si="26"/>
        <v>100</v>
      </c>
    </row>
    <row r="295" spans="1:10" ht="25.5">
      <c r="A295" s="16" t="s">
        <v>87</v>
      </c>
      <c r="B295" s="19" t="s">
        <v>270</v>
      </c>
      <c r="C295" s="20" t="s">
        <v>62</v>
      </c>
      <c r="D295" s="20" t="s">
        <v>72</v>
      </c>
      <c r="E295" s="97" t="s">
        <v>414</v>
      </c>
      <c r="F295" s="97" t="s">
        <v>88</v>
      </c>
      <c r="G295" s="187">
        <f>60-20.7</f>
        <v>39.299999999999997</v>
      </c>
      <c r="H295" s="187">
        <v>39.299999999999997</v>
      </c>
      <c r="I295" s="187">
        <f t="shared" si="25"/>
        <v>0</v>
      </c>
      <c r="J295" s="189">
        <f t="shared" si="26"/>
        <v>100</v>
      </c>
    </row>
    <row r="296" spans="1:10">
      <c r="A296" s="16" t="s">
        <v>174</v>
      </c>
      <c r="B296" s="19" t="s">
        <v>270</v>
      </c>
      <c r="C296" s="20" t="s">
        <v>62</v>
      </c>
      <c r="D296" s="20" t="s">
        <v>72</v>
      </c>
      <c r="E296" s="97" t="s">
        <v>415</v>
      </c>
      <c r="F296" s="97"/>
      <c r="G296" s="187">
        <f>G297</f>
        <v>22.6</v>
      </c>
      <c r="H296" s="187">
        <f>H297</f>
        <v>22.5</v>
      </c>
      <c r="I296" s="187">
        <f t="shared" si="25"/>
        <v>0.10000000000000142</v>
      </c>
      <c r="J296" s="189">
        <f t="shared" si="26"/>
        <v>99.55752212389379</v>
      </c>
    </row>
    <row r="297" spans="1:10" ht="51">
      <c r="A297" s="16" t="s">
        <v>90</v>
      </c>
      <c r="B297" s="19" t="s">
        <v>270</v>
      </c>
      <c r="C297" s="20" t="s">
        <v>62</v>
      </c>
      <c r="D297" s="20" t="s">
        <v>72</v>
      </c>
      <c r="E297" s="97" t="s">
        <v>415</v>
      </c>
      <c r="F297" s="97" t="s">
        <v>91</v>
      </c>
      <c r="G297" s="187">
        <f>G298</f>
        <v>22.6</v>
      </c>
      <c r="H297" s="187">
        <f>H298</f>
        <v>22.5</v>
      </c>
      <c r="I297" s="187">
        <f t="shared" si="25"/>
        <v>0.10000000000000142</v>
      </c>
      <c r="J297" s="189">
        <f t="shared" si="26"/>
        <v>99.55752212389379</v>
      </c>
    </row>
    <row r="298" spans="1:10" ht="25.5">
      <c r="A298" s="16" t="s">
        <v>87</v>
      </c>
      <c r="B298" s="19" t="s">
        <v>270</v>
      </c>
      <c r="C298" s="20" t="s">
        <v>62</v>
      </c>
      <c r="D298" s="20" t="s">
        <v>72</v>
      </c>
      <c r="E298" s="97" t="s">
        <v>415</v>
      </c>
      <c r="F298" s="97" t="s">
        <v>88</v>
      </c>
      <c r="G298" s="187">
        <f>30-7.4</f>
        <v>22.6</v>
      </c>
      <c r="H298" s="187">
        <v>22.5</v>
      </c>
      <c r="I298" s="187">
        <f t="shared" si="25"/>
        <v>0.10000000000000142</v>
      </c>
      <c r="J298" s="189">
        <f t="shared" si="26"/>
        <v>99.55752212389379</v>
      </c>
    </row>
    <row r="299" spans="1:10" ht="25.5">
      <c r="A299" s="14" t="s">
        <v>136</v>
      </c>
      <c r="B299" s="35" t="s">
        <v>271</v>
      </c>
      <c r="C299" s="20"/>
      <c r="D299" s="20"/>
      <c r="E299" s="97"/>
      <c r="F299" s="97"/>
      <c r="G299" s="185">
        <f>G300+G341+G347</f>
        <v>60179.399999999994</v>
      </c>
      <c r="H299" s="185">
        <f>H300+H341+H347</f>
        <v>59982.999999999993</v>
      </c>
      <c r="I299" s="187">
        <f t="shared" si="25"/>
        <v>196.40000000000146</v>
      </c>
      <c r="J299" s="189">
        <f t="shared" si="26"/>
        <v>99.673642475664423</v>
      </c>
    </row>
    <row r="300" spans="1:10">
      <c r="A300" s="15" t="s">
        <v>2</v>
      </c>
      <c r="B300" s="31" t="s">
        <v>271</v>
      </c>
      <c r="C300" s="31" t="s">
        <v>62</v>
      </c>
      <c r="D300" s="31" t="s">
        <v>33</v>
      </c>
      <c r="E300" s="97"/>
      <c r="F300" s="97"/>
      <c r="G300" s="185">
        <f>G301</f>
        <v>54030.7</v>
      </c>
      <c r="H300" s="185">
        <f>H301</f>
        <v>53834.299999999996</v>
      </c>
      <c r="I300" s="187">
        <f t="shared" si="25"/>
        <v>196.40000000000146</v>
      </c>
      <c r="J300" s="189">
        <f t="shared" si="26"/>
        <v>99.636502951100027</v>
      </c>
    </row>
    <row r="301" spans="1:10">
      <c r="A301" s="15" t="s">
        <v>59</v>
      </c>
      <c r="B301" s="35" t="s">
        <v>271</v>
      </c>
      <c r="C301" s="31" t="s">
        <v>62</v>
      </c>
      <c r="D301" s="31" t="s">
        <v>83</v>
      </c>
      <c r="E301" s="97"/>
      <c r="F301" s="97"/>
      <c r="G301" s="185">
        <f>G332+G316+G311+G303</f>
        <v>54030.7</v>
      </c>
      <c r="H301" s="185">
        <f>H332+H316+H311+H303</f>
        <v>53834.299999999996</v>
      </c>
      <c r="I301" s="187">
        <f t="shared" si="25"/>
        <v>196.40000000000146</v>
      </c>
      <c r="J301" s="189">
        <f t="shared" si="26"/>
        <v>99.636502951100027</v>
      </c>
    </row>
    <row r="302" spans="1:10">
      <c r="A302" s="16" t="s">
        <v>430</v>
      </c>
      <c r="B302" s="20" t="s">
        <v>271</v>
      </c>
      <c r="C302" s="20" t="s">
        <v>62</v>
      </c>
      <c r="D302" s="20" t="s">
        <v>83</v>
      </c>
      <c r="E302" s="102" t="s">
        <v>431</v>
      </c>
      <c r="F302" s="100"/>
      <c r="G302" s="18">
        <f>G311+G303</f>
        <v>2400</v>
      </c>
      <c r="H302" s="18">
        <f>H311+H303</f>
        <v>2280</v>
      </c>
      <c r="I302" s="187">
        <f t="shared" si="25"/>
        <v>120</v>
      </c>
      <c r="J302" s="189">
        <f t="shared" si="26"/>
        <v>95</v>
      </c>
    </row>
    <row r="303" spans="1:10" ht="25.5">
      <c r="A303" s="28" t="s">
        <v>374</v>
      </c>
      <c r="B303" s="19" t="s">
        <v>271</v>
      </c>
      <c r="C303" s="20" t="s">
        <v>62</v>
      </c>
      <c r="D303" s="20" t="s">
        <v>83</v>
      </c>
      <c r="E303" s="41" t="s">
        <v>155</v>
      </c>
      <c r="F303" s="20"/>
      <c r="G303" s="18">
        <f>G304</f>
        <v>1400</v>
      </c>
      <c r="H303" s="18">
        <f>H304</f>
        <v>1400</v>
      </c>
      <c r="I303" s="187">
        <f t="shared" si="25"/>
        <v>0</v>
      </c>
      <c r="J303" s="189">
        <f t="shared" si="26"/>
        <v>100</v>
      </c>
    </row>
    <row r="304" spans="1:10" ht="38.25">
      <c r="A304" s="28" t="s">
        <v>607</v>
      </c>
      <c r="B304" s="19" t="s">
        <v>271</v>
      </c>
      <c r="C304" s="20" t="s">
        <v>62</v>
      </c>
      <c r="D304" s="20" t="s">
        <v>83</v>
      </c>
      <c r="E304" s="41" t="s">
        <v>608</v>
      </c>
      <c r="F304" s="20"/>
      <c r="G304" s="18">
        <f>G305+G308</f>
        <v>1400</v>
      </c>
      <c r="H304" s="18">
        <f>H305+H308</f>
        <v>1400</v>
      </c>
      <c r="I304" s="187">
        <f t="shared" si="25"/>
        <v>0</v>
      </c>
      <c r="J304" s="189">
        <f t="shared" si="26"/>
        <v>100</v>
      </c>
    </row>
    <row r="305" spans="1:10" ht="63.75">
      <c r="A305" s="28" t="s">
        <v>601</v>
      </c>
      <c r="B305" s="19" t="s">
        <v>271</v>
      </c>
      <c r="C305" s="20" t="s">
        <v>62</v>
      </c>
      <c r="D305" s="20" t="s">
        <v>83</v>
      </c>
      <c r="E305" s="41" t="s">
        <v>602</v>
      </c>
      <c r="F305" s="20"/>
      <c r="G305" s="18">
        <f>G306</f>
        <v>1162.2</v>
      </c>
      <c r="H305" s="18">
        <f>H306</f>
        <v>1162.2</v>
      </c>
      <c r="I305" s="187">
        <f t="shared" si="25"/>
        <v>0</v>
      </c>
      <c r="J305" s="189">
        <f t="shared" si="26"/>
        <v>100</v>
      </c>
    </row>
    <row r="306" spans="1:10" ht="25.5">
      <c r="A306" s="16" t="s">
        <v>605</v>
      </c>
      <c r="B306" s="19" t="s">
        <v>271</v>
      </c>
      <c r="C306" s="20" t="s">
        <v>62</v>
      </c>
      <c r="D306" s="20" t="s">
        <v>83</v>
      </c>
      <c r="E306" s="41" t="s">
        <v>602</v>
      </c>
      <c r="F306" s="20" t="s">
        <v>603</v>
      </c>
      <c r="G306" s="18">
        <f>G307</f>
        <v>1162.2</v>
      </c>
      <c r="H306" s="18">
        <f>H307</f>
        <v>1162.2</v>
      </c>
      <c r="I306" s="187">
        <f t="shared" si="25"/>
        <v>0</v>
      </c>
      <c r="J306" s="189">
        <f t="shared" si="26"/>
        <v>100</v>
      </c>
    </row>
    <row r="307" spans="1:10">
      <c r="A307" s="16" t="s">
        <v>606</v>
      </c>
      <c r="B307" s="19" t="s">
        <v>271</v>
      </c>
      <c r="C307" s="20" t="s">
        <v>62</v>
      </c>
      <c r="D307" s="20" t="s">
        <v>83</v>
      </c>
      <c r="E307" s="41" t="s">
        <v>602</v>
      </c>
      <c r="F307" s="20" t="s">
        <v>604</v>
      </c>
      <c r="G307" s="18">
        <f>'МП пр.5'!G501</f>
        <v>1162.2</v>
      </c>
      <c r="H307" s="18">
        <f>'МП пр.5'!H501</f>
        <v>1162.2</v>
      </c>
      <c r="I307" s="187">
        <f t="shared" si="25"/>
        <v>0</v>
      </c>
      <c r="J307" s="189">
        <f t="shared" si="26"/>
        <v>100</v>
      </c>
    </row>
    <row r="308" spans="1:10" ht="76.5">
      <c r="A308" s="16" t="str">
        <f>'МП пр.5'!A502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308" s="19" t="s">
        <v>271</v>
      </c>
      <c r="C308" s="20" t="s">
        <v>62</v>
      </c>
      <c r="D308" s="20" t="s">
        <v>83</v>
      </c>
      <c r="E308" s="41" t="str">
        <f>'МП пр.5'!B502</f>
        <v>7Р 0 04 74100</v>
      </c>
      <c r="F308" s="20"/>
      <c r="G308" s="18">
        <f>G309</f>
        <v>237.8</v>
      </c>
      <c r="H308" s="18">
        <f>H309</f>
        <v>237.8</v>
      </c>
      <c r="I308" s="187">
        <f t="shared" si="25"/>
        <v>0</v>
      </c>
      <c r="J308" s="189">
        <f t="shared" si="26"/>
        <v>100</v>
      </c>
    </row>
    <row r="309" spans="1:10" ht="25.5">
      <c r="A309" s="16" t="s">
        <v>605</v>
      </c>
      <c r="B309" s="19" t="s">
        <v>271</v>
      </c>
      <c r="C309" s="20" t="s">
        <v>62</v>
      </c>
      <c r="D309" s="20" t="s">
        <v>83</v>
      </c>
      <c r="E309" s="41" t="str">
        <f>'МП пр.5'!B503</f>
        <v>7Р 0 04 74100</v>
      </c>
      <c r="F309" s="20" t="s">
        <v>603</v>
      </c>
      <c r="G309" s="18">
        <f>G310</f>
        <v>237.8</v>
      </c>
      <c r="H309" s="18">
        <f>H310</f>
        <v>237.8</v>
      </c>
      <c r="I309" s="187">
        <f t="shared" si="25"/>
        <v>0</v>
      </c>
      <c r="J309" s="189">
        <f t="shared" si="26"/>
        <v>100</v>
      </c>
    </row>
    <row r="310" spans="1:10">
      <c r="A310" s="16" t="s">
        <v>606</v>
      </c>
      <c r="B310" s="19" t="s">
        <v>271</v>
      </c>
      <c r="C310" s="20" t="s">
        <v>62</v>
      </c>
      <c r="D310" s="20" t="s">
        <v>83</v>
      </c>
      <c r="E310" s="41" t="str">
        <f>'МП пр.5'!B504</f>
        <v>7Р 0 04 74100</v>
      </c>
      <c r="F310" s="20" t="s">
        <v>604</v>
      </c>
      <c r="G310" s="18">
        <f>'МП пр.5'!G507</f>
        <v>237.8</v>
      </c>
      <c r="H310" s="18">
        <f>'МП пр.5'!H507</f>
        <v>237.8</v>
      </c>
      <c r="I310" s="187">
        <f t="shared" si="25"/>
        <v>0</v>
      </c>
      <c r="J310" s="189">
        <f t="shared" si="26"/>
        <v>100</v>
      </c>
    </row>
    <row r="311" spans="1:10" ht="38.25">
      <c r="A311" s="28" t="str">
        <f>'МП пр.5'!A584</f>
        <v>Муниципальная программа "Управление муниципальным имуществом Сусуманского городского округа на 2018-2021 годы"</v>
      </c>
      <c r="B311" s="20" t="s">
        <v>271</v>
      </c>
      <c r="C311" s="20" t="s">
        <v>62</v>
      </c>
      <c r="D311" s="20" t="s">
        <v>83</v>
      </c>
      <c r="E311" s="97" t="str">
        <f>'МП пр.5'!B584</f>
        <v xml:space="preserve">7Щ 0 00 00000 </v>
      </c>
      <c r="F311" s="97"/>
      <c r="G311" s="187">
        <f t="shared" ref="G311:H314" si="28">G312</f>
        <v>1000</v>
      </c>
      <c r="H311" s="187">
        <f t="shared" si="28"/>
        <v>880</v>
      </c>
      <c r="I311" s="187">
        <f t="shared" si="25"/>
        <v>120</v>
      </c>
      <c r="J311" s="189">
        <f t="shared" si="26"/>
        <v>88</v>
      </c>
    </row>
    <row r="312" spans="1:10" ht="38.25">
      <c r="A312" s="16" t="str">
        <f>'МП пр.5'!A585</f>
        <v>Основное мероприятие "Проведение на территории Сусуманского городского округа комплексных кадастровых работ"</v>
      </c>
      <c r="B312" s="20" t="s">
        <v>271</v>
      </c>
      <c r="C312" s="20" t="s">
        <v>62</v>
      </c>
      <c r="D312" s="20" t="s">
        <v>83</v>
      </c>
      <c r="E312" s="97" t="str">
        <f>'МП пр.5'!B585</f>
        <v xml:space="preserve">7Щ 0 01 00000 </v>
      </c>
      <c r="F312" s="97"/>
      <c r="G312" s="187">
        <f t="shared" si="28"/>
        <v>1000</v>
      </c>
      <c r="H312" s="187">
        <f t="shared" si="28"/>
        <v>880</v>
      </c>
      <c r="I312" s="187">
        <f t="shared" si="25"/>
        <v>120</v>
      </c>
      <c r="J312" s="189">
        <f t="shared" si="26"/>
        <v>88</v>
      </c>
    </row>
    <row r="313" spans="1:10" ht="25.5">
      <c r="A313" s="16" t="str">
        <f>'МП пр.5'!A586</f>
        <v>Проведение комплексных кадастровых работ за счет средств областного бюджета</v>
      </c>
      <c r="B313" s="20" t="s">
        <v>271</v>
      </c>
      <c r="C313" s="20" t="s">
        <v>62</v>
      </c>
      <c r="D313" s="20" t="s">
        <v>83</v>
      </c>
      <c r="E313" s="97" t="str">
        <f>'МП пр.5'!B587</f>
        <v>7Щ 0 01 R5110</v>
      </c>
      <c r="F313" s="97"/>
      <c r="G313" s="187">
        <f t="shared" si="28"/>
        <v>1000</v>
      </c>
      <c r="H313" s="187">
        <f t="shared" si="28"/>
        <v>880</v>
      </c>
      <c r="I313" s="187">
        <f t="shared" si="25"/>
        <v>120</v>
      </c>
      <c r="J313" s="189">
        <f t="shared" si="26"/>
        <v>88</v>
      </c>
    </row>
    <row r="314" spans="1:10" ht="25.5">
      <c r="A314" s="16" t="s">
        <v>331</v>
      </c>
      <c r="B314" s="20" t="s">
        <v>271</v>
      </c>
      <c r="C314" s="20" t="s">
        <v>62</v>
      </c>
      <c r="D314" s="20" t="s">
        <v>83</v>
      </c>
      <c r="E314" s="97" t="str">
        <f>'МП пр.5'!B588</f>
        <v>7Щ 0 01 R5110</v>
      </c>
      <c r="F314" s="121">
        <v>200</v>
      </c>
      <c r="G314" s="187">
        <f t="shared" si="28"/>
        <v>1000</v>
      </c>
      <c r="H314" s="187">
        <f t="shared" si="28"/>
        <v>880</v>
      </c>
      <c r="I314" s="187">
        <f t="shared" si="25"/>
        <v>120</v>
      </c>
      <c r="J314" s="189">
        <f t="shared" si="26"/>
        <v>88</v>
      </c>
    </row>
    <row r="315" spans="1:10" ht="25.5">
      <c r="A315" s="16" t="s">
        <v>556</v>
      </c>
      <c r="B315" s="20" t="s">
        <v>271</v>
      </c>
      <c r="C315" s="20" t="s">
        <v>62</v>
      </c>
      <c r="D315" s="20" t="s">
        <v>83</v>
      </c>
      <c r="E315" s="97" t="str">
        <f>'МП пр.5'!B589</f>
        <v>7Щ 0 01 R5110</v>
      </c>
      <c r="F315" s="121">
        <v>240</v>
      </c>
      <c r="G315" s="187">
        <f>'МП пр.5'!G589</f>
        <v>1000</v>
      </c>
      <c r="H315" s="187">
        <f>'МП пр.5'!H589</f>
        <v>880</v>
      </c>
      <c r="I315" s="187">
        <f t="shared" si="25"/>
        <v>120</v>
      </c>
      <c r="J315" s="189">
        <f t="shared" si="26"/>
        <v>88</v>
      </c>
    </row>
    <row r="316" spans="1:10">
      <c r="A316" s="16" t="s">
        <v>290</v>
      </c>
      <c r="B316" s="19" t="s">
        <v>271</v>
      </c>
      <c r="C316" s="20" t="s">
        <v>62</v>
      </c>
      <c r="D316" s="20" t="s">
        <v>83</v>
      </c>
      <c r="E316" s="102" t="s">
        <v>446</v>
      </c>
      <c r="F316" s="100"/>
      <c r="G316" s="187">
        <f>G317+G324+G327</f>
        <v>49250.5</v>
      </c>
      <c r="H316" s="187">
        <f>H317+H324+H327</f>
        <v>49182.7</v>
      </c>
      <c r="I316" s="187">
        <f t="shared" si="25"/>
        <v>67.80000000000291</v>
      </c>
      <c r="J316" s="189">
        <f t="shared" si="26"/>
        <v>99.862336422980462</v>
      </c>
    </row>
    <row r="317" spans="1:10" ht="25.5">
      <c r="A317" s="16" t="s">
        <v>183</v>
      </c>
      <c r="B317" s="19" t="s">
        <v>271</v>
      </c>
      <c r="C317" s="20" t="s">
        <v>62</v>
      </c>
      <c r="D317" s="20" t="s">
        <v>83</v>
      </c>
      <c r="E317" s="102" t="s">
        <v>447</v>
      </c>
      <c r="F317" s="100"/>
      <c r="G317" s="187">
        <f>G318+G320+G322</f>
        <v>48042.2</v>
      </c>
      <c r="H317" s="187">
        <f>H318+H320+H322</f>
        <v>47974.8</v>
      </c>
      <c r="I317" s="187">
        <f t="shared" si="25"/>
        <v>67.399999999994179</v>
      </c>
      <c r="J317" s="189">
        <f t="shared" si="26"/>
        <v>99.859706674548647</v>
      </c>
    </row>
    <row r="318" spans="1:10" ht="51">
      <c r="A318" s="16" t="s">
        <v>90</v>
      </c>
      <c r="B318" s="19" t="s">
        <v>271</v>
      </c>
      <c r="C318" s="20" t="s">
        <v>62</v>
      </c>
      <c r="D318" s="20" t="s">
        <v>83</v>
      </c>
      <c r="E318" s="102" t="s">
        <v>447</v>
      </c>
      <c r="F318" s="97" t="s">
        <v>91</v>
      </c>
      <c r="G318" s="187">
        <f>G319</f>
        <v>34547.299999999996</v>
      </c>
      <c r="H318" s="187">
        <f>H319</f>
        <v>34547.300000000003</v>
      </c>
      <c r="I318" s="187">
        <f t="shared" si="25"/>
        <v>0</v>
      </c>
      <c r="J318" s="189">
        <f t="shared" si="26"/>
        <v>100.00000000000003</v>
      </c>
    </row>
    <row r="319" spans="1:10">
      <c r="A319" s="16" t="s">
        <v>206</v>
      </c>
      <c r="B319" s="19" t="s">
        <v>271</v>
      </c>
      <c r="C319" s="20" t="s">
        <v>62</v>
      </c>
      <c r="D319" s="20" t="s">
        <v>83</v>
      </c>
      <c r="E319" s="102" t="s">
        <v>447</v>
      </c>
      <c r="F319" s="97" t="s">
        <v>207</v>
      </c>
      <c r="G319" s="187">
        <f>33400.1+1147.2</f>
        <v>34547.299999999996</v>
      </c>
      <c r="H319" s="187">
        <f>26652.9+101+7793.4</f>
        <v>34547.300000000003</v>
      </c>
      <c r="I319" s="187">
        <f t="shared" si="25"/>
        <v>0</v>
      </c>
      <c r="J319" s="189">
        <f t="shared" si="26"/>
        <v>100.00000000000003</v>
      </c>
    </row>
    <row r="320" spans="1:10" ht="25.5">
      <c r="A320" s="16" t="s">
        <v>331</v>
      </c>
      <c r="B320" s="19" t="s">
        <v>271</v>
      </c>
      <c r="C320" s="20" t="s">
        <v>62</v>
      </c>
      <c r="D320" s="20" t="s">
        <v>83</v>
      </c>
      <c r="E320" s="102" t="s">
        <v>447</v>
      </c>
      <c r="F320" s="97" t="s">
        <v>92</v>
      </c>
      <c r="G320" s="187">
        <f>G321</f>
        <v>13203.5</v>
      </c>
      <c r="H320" s="187">
        <f>H321</f>
        <v>13136.2</v>
      </c>
      <c r="I320" s="187">
        <f t="shared" si="25"/>
        <v>67.299999999999272</v>
      </c>
      <c r="J320" s="189">
        <f t="shared" si="26"/>
        <v>99.490286666414221</v>
      </c>
    </row>
    <row r="321" spans="1:10" ht="25.5">
      <c r="A321" s="16" t="s">
        <v>556</v>
      </c>
      <c r="B321" s="19" t="s">
        <v>271</v>
      </c>
      <c r="C321" s="20" t="s">
        <v>62</v>
      </c>
      <c r="D321" s="20" t="s">
        <v>83</v>
      </c>
      <c r="E321" s="102" t="s">
        <v>447</v>
      </c>
      <c r="F321" s="97" t="s">
        <v>89</v>
      </c>
      <c r="G321" s="187">
        <f>13684.2-480.7</f>
        <v>13203.5</v>
      </c>
      <c r="H321" s="187">
        <v>13136.2</v>
      </c>
      <c r="I321" s="187">
        <f t="shared" si="25"/>
        <v>67.299999999999272</v>
      </c>
      <c r="J321" s="189">
        <f t="shared" si="26"/>
        <v>99.490286666414221</v>
      </c>
    </row>
    <row r="322" spans="1:10">
      <c r="A322" s="16" t="s">
        <v>108</v>
      </c>
      <c r="B322" s="19" t="s">
        <v>271</v>
      </c>
      <c r="C322" s="20" t="s">
        <v>62</v>
      </c>
      <c r="D322" s="20" t="s">
        <v>83</v>
      </c>
      <c r="E322" s="102" t="s">
        <v>447</v>
      </c>
      <c r="F322" s="97" t="s">
        <v>109</v>
      </c>
      <c r="G322" s="187">
        <f>G323</f>
        <v>291.39999999999998</v>
      </c>
      <c r="H322" s="187">
        <f>H323</f>
        <v>291.3</v>
      </c>
      <c r="I322" s="187">
        <f t="shared" si="25"/>
        <v>9.9999999999965894E-2</v>
      </c>
      <c r="J322" s="189">
        <f t="shared" si="26"/>
        <v>99.965682910089242</v>
      </c>
    </row>
    <row r="323" spans="1:10">
      <c r="A323" s="16" t="s">
        <v>111</v>
      </c>
      <c r="B323" s="19" t="s">
        <v>271</v>
      </c>
      <c r="C323" s="20" t="s">
        <v>62</v>
      </c>
      <c r="D323" s="20" t="s">
        <v>83</v>
      </c>
      <c r="E323" s="102" t="s">
        <v>447</v>
      </c>
      <c r="F323" s="97" t="s">
        <v>112</v>
      </c>
      <c r="G323" s="187">
        <f>318-26.6</f>
        <v>291.39999999999998</v>
      </c>
      <c r="H323" s="187">
        <f>241.8+49.5</f>
        <v>291.3</v>
      </c>
      <c r="I323" s="187">
        <f t="shared" si="25"/>
        <v>9.9999999999965894E-2</v>
      </c>
      <c r="J323" s="189">
        <f t="shared" si="26"/>
        <v>99.965682910089242</v>
      </c>
    </row>
    <row r="324" spans="1:10" ht="63.75">
      <c r="A324" s="16" t="s">
        <v>202</v>
      </c>
      <c r="B324" s="19" t="s">
        <v>271</v>
      </c>
      <c r="C324" s="20" t="s">
        <v>62</v>
      </c>
      <c r="D324" s="20" t="s">
        <v>83</v>
      </c>
      <c r="E324" s="102" t="s">
        <v>448</v>
      </c>
      <c r="F324" s="97"/>
      <c r="G324" s="187">
        <f>G325</f>
        <v>668.8</v>
      </c>
      <c r="H324" s="187">
        <f>H325</f>
        <v>668.7</v>
      </c>
      <c r="I324" s="187">
        <f t="shared" si="25"/>
        <v>9.9999999999909051E-2</v>
      </c>
      <c r="J324" s="189">
        <f t="shared" si="26"/>
        <v>99.985047846889969</v>
      </c>
    </row>
    <row r="325" spans="1:10" ht="51">
      <c r="A325" s="16" t="s">
        <v>90</v>
      </c>
      <c r="B325" s="19" t="s">
        <v>271</v>
      </c>
      <c r="C325" s="20" t="s">
        <v>62</v>
      </c>
      <c r="D325" s="20" t="s">
        <v>83</v>
      </c>
      <c r="E325" s="102" t="s">
        <v>448</v>
      </c>
      <c r="F325" s="97" t="s">
        <v>91</v>
      </c>
      <c r="G325" s="187">
        <f>G326</f>
        <v>668.8</v>
      </c>
      <c r="H325" s="187">
        <f>H326</f>
        <v>668.7</v>
      </c>
      <c r="I325" s="187">
        <f t="shared" si="25"/>
        <v>9.9999999999909051E-2</v>
      </c>
      <c r="J325" s="189">
        <f t="shared" si="26"/>
        <v>99.985047846889969</v>
      </c>
    </row>
    <row r="326" spans="1:10">
      <c r="A326" s="16" t="s">
        <v>206</v>
      </c>
      <c r="B326" s="19" t="s">
        <v>271</v>
      </c>
      <c r="C326" s="20" t="s">
        <v>62</v>
      </c>
      <c r="D326" s="20" t="s">
        <v>83</v>
      </c>
      <c r="E326" s="102" t="s">
        <v>448</v>
      </c>
      <c r="F326" s="97" t="s">
        <v>207</v>
      </c>
      <c r="G326" s="187">
        <f>694.3-25.5</f>
        <v>668.8</v>
      </c>
      <c r="H326" s="187">
        <v>668.7</v>
      </c>
      <c r="I326" s="187">
        <f t="shared" si="25"/>
        <v>9.9999999999909051E-2</v>
      </c>
      <c r="J326" s="189">
        <f t="shared" si="26"/>
        <v>99.985047846889969</v>
      </c>
    </row>
    <row r="327" spans="1:10">
      <c r="A327" s="16" t="s">
        <v>174</v>
      </c>
      <c r="B327" s="19" t="s">
        <v>271</v>
      </c>
      <c r="C327" s="20" t="s">
        <v>62</v>
      </c>
      <c r="D327" s="20" t="s">
        <v>83</v>
      </c>
      <c r="E327" s="102" t="s">
        <v>449</v>
      </c>
      <c r="F327" s="97"/>
      <c r="G327" s="187">
        <f>G328+G330</f>
        <v>539.5</v>
      </c>
      <c r="H327" s="187">
        <f>H328+H330</f>
        <v>539.20000000000005</v>
      </c>
      <c r="I327" s="187">
        <f t="shared" si="25"/>
        <v>0.29999999999995453</v>
      </c>
      <c r="J327" s="189">
        <f t="shared" si="26"/>
        <v>99.944392956441149</v>
      </c>
    </row>
    <row r="328" spans="1:10" ht="51">
      <c r="A328" s="16" t="s">
        <v>90</v>
      </c>
      <c r="B328" s="19" t="s">
        <v>271</v>
      </c>
      <c r="C328" s="20" t="s">
        <v>62</v>
      </c>
      <c r="D328" s="20" t="s">
        <v>83</v>
      </c>
      <c r="E328" s="102" t="s">
        <v>449</v>
      </c>
      <c r="F328" s="97" t="s">
        <v>91</v>
      </c>
      <c r="G328" s="187">
        <f>G329</f>
        <v>47.800000000000068</v>
      </c>
      <c r="H328" s="187">
        <f>H329</f>
        <v>47.6</v>
      </c>
      <c r="I328" s="187">
        <f t="shared" si="25"/>
        <v>0.20000000000006679</v>
      </c>
      <c r="J328" s="189">
        <f t="shared" si="26"/>
        <v>99.581589958158858</v>
      </c>
    </row>
    <row r="329" spans="1:10">
      <c r="A329" s="16" t="s">
        <v>206</v>
      </c>
      <c r="B329" s="19" t="s">
        <v>271</v>
      </c>
      <c r="C329" s="20" t="s">
        <v>62</v>
      </c>
      <c r="D329" s="20" t="s">
        <v>83</v>
      </c>
      <c r="E329" s="102" t="s">
        <v>449</v>
      </c>
      <c r="F329" s="97" t="s">
        <v>207</v>
      </c>
      <c r="G329" s="187">
        <f>532.2-484.4</f>
        <v>47.800000000000068</v>
      </c>
      <c r="H329" s="187">
        <v>47.6</v>
      </c>
      <c r="I329" s="187">
        <f t="shared" si="25"/>
        <v>0.20000000000006679</v>
      </c>
      <c r="J329" s="189">
        <f t="shared" si="26"/>
        <v>99.581589958158858</v>
      </c>
    </row>
    <row r="330" spans="1:10">
      <c r="A330" s="16" t="s">
        <v>99</v>
      </c>
      <c r="B330" s="19" t="s">
        <v>271</v>
      </c>
      <c r="C330" s="20" t="s">
        <v>62</v>
      </c>
      <c r="D330" s="20" t="s">
        <v>83</v>
      </c>
      <c r="E330" s="102" t="s">
        <v>449</v>
      </c>
      <c r="F330" s="121">
        <v>300</v>
      </c>
      <c r="G330" s="187">
        <f>G331</f>
        <v>491.7</v>
      </c>
      <c r="H330" s="187">
        <f>H331</f>
        <v>491.6</v>
      </c>
      <c r="I330" s="187">
        <f t="shared" si="25"/>
        <v>9.9999999999965894E-2</v>
      </c>
      <c r="J330" s="189">
        <f t="shared" si="26"/>
        <v>99.979662395769793</v>
      </c>
    </row>
    <row r="331" spans="1:10" ht="25.5">
      <c r="A331" s="28" t="s">
        <v>114</v>
      </c>
      <c r="B331" s="19" t="s">
        <v>271</v>
      </c>
      <c r="C331" s="20" t="s">
        <v>62</v>
      </c>
      <c r="D331" s="20" t="s">
        <v>83</v>
      </c>
      <c r="E331" s="102" t="s">
        <v>449</v>
      </c>
      <c r="F331" s="121">
        <v>320</v>
      </c>
      <c r="G331" s="187">
        <v>491.7</v>
      </c>
      <c r="H331" s="187">
        <v>491.6</v>
      </c>
      <c r="I331" s="187">
        <f t="shared" si="25"/>
        <v>9.9999999999965894E-2</v>
      </c>
      <c r="J331" s="189">
        <f t="shared" si="26"/>
        <v>99.979662395769793</v>
      </c>
    </row>
    <row r="332" spans="1:10" ht="25.5">
      <c r="A332" s="29" t="s">
        <v>167</v>
      </c>
      <c r="B332" s="19" t="s">
        <v>271</v>
      </c>
      <c r="C332" s="20" t="s">
        <v>62</v>
      </c>
      <c r="D332" s="20" t="s">
        <v>83</v>
      </c>
      <c r="E332" s="97" t="s">
        <v>450</v>
      </c>
      <c r="F332" s="97"/>
      <c r="G332" s="187">
        <f>G333+G336</f>
        <v>2380.1999999999998</v>
      </c>
      <c r="H332" s="187">
        <f>H333+H336</f>
        <v>2371.6</v>
      </c>
      <c r="I332" s="187">
        <f t="shared" si="25"/>
        <v>8.5999999999999091</v>
      </c>
      <c r="J332" s="189">
        <f t="shared" si="26"/>
        <v>99.638685824720625</v>
      </c>
    </row>
    <row r="333" spans="1:10" ht="25.5">
      <c r="A333" s="29" t="s">
        <v>264</v>
      </c>
      <c r="B333" s="19" t="s">
        <v>271</v>
      </c>
      <c r="C333" s="20" t="s">
        <v>62</v>
      </c>
      <c r="D333" s="20" t="s">
        <v>83</v>
      </c>
      <c r="E333" s="97" t="s">
        <v>451</v>
      </c>
      <c r="F333" s="97"/>
      <c r="G333" s="187">
        <f>G334</f>
        <v>1713.4</v>
      </c>
      <c r="H333" s="187">
        <f>H334</f>
        <v>1705.8</v>
      </c>
      <c r="I333" s="187">
        <f t="shared" si="25"/>
        <v>7.6000000000001364</v>
      </c>
      <c r="J333" s="189">
        <f t="shared" si="26"/>
        <v>99.556437492704546</v>
      </c>
    </row>
    <row r="334" spans="1:10" ht="25.5">
      <c r="A334" s="16" t="s">
        <v>331</v>
      </c>
      <c r="B334" s="19" t="s">
        <v>271</v>
      </c>
      <c r="C334" s="20" t="s">
        <v>62</v>
      </c>
      <c r="D334" s="20" t="s">
        <v>83</v>
      </c>
      <c r="E334" s="97" t="s">
        <v>451</v>
      </c>
      <c r="F334" s="97" t="s">
        <v>92</v>
      </c>
      <c r="G334" s="187">
        <f>G335</f>
        <v>1713.4</v>
      </c>
      <c r="H334" s="187">
        <f>H335</f>
        <v>1705.8</v>
      </c>
      <c r="I334" s="187">
        <f t="shared" si="25"/>
        <v>7.6000000000001364</v>
      </c>
      <c r="J334" s="189">
        <f t="shared" si="26"/>
        <v>99.556437492704546</v>
      </c>
    </row>
    <row r="335" spans="1:10" ht="25.5">
      <c r="A335" s="16" t="s">
        <v>556</v>
      </c>
      <c r="B335" s="19" t="s">
        <v>271</v>
      </c>
      <c r="C335" s="20" t="s">
        <v>62</v>
      </c>
      <c r="D335" s="20" t="s">
        <v>83</v>
      </c>
      <c r="E335" s="97" t="s">
        <v>451</v>
      </c>
      <c r="F335" s="97" t="s">
        <v>89</v>
      </c>
      <c r="G335" s="187">
        <f>1525.4+188</f>
        <v>1713.4</v>
      </c>
      <c r="H335" s="187">
        <v>1705.8</v>
      </c>
      <c r="I335" s="187">
        <f t="shared" ref="I335:I398" si="29">G335-H335</f>
        <v>7.6000000000001364</v>
      </c>
      <c r="J335" s="189">
        <f t="shared" ref="J335:J398" si="30">H335/G335*100</f>
        <v>99.556437492704546</v>
      </c>
    </row>
    <row r="336" spans="1:10" ht="38.25">
      <c r="A336" s="29" t="s">
        <v>543</v>
      </c>
      <c r="B336" s="19" t="s">
        <v>271</v>
      </c>
      <c r="C336" s="20" t="s">
        <v>62</v>
      </c>
      <c r="D336" s="20" t="s">
        <v>83</v>
      </c>
      <c r="E336" s="97" t="s">
        <v>452</v>
      </c>
      <c r="F336" s="97"/>
      <c r="G336" s="187">
        <f>G337+G339</f>
        <v>666.8</v>
      </c>
      <c r="H336" s="187">
        <f>H337+H339</f>
        <v>665.8</v>
      </c>
      <c r="I336" s="187">
        <f t="shared" si="29"/>
        <v>1</v>
      </c>
      <c r="J336" s="189">
        <f t="shared" si="30"/>
        <v>99.850029994001204</v>
      </c>
    </row>
    <row r="337" spans="1:10" ht="25.5">
      <c r="A337" s="16" t="s">
        <v>331</v>
      </c>
      <c r="B337" s="19" t="s">
        <v>271</v>
      </c>
      <c r="C337" s="20" t="s">
        <v>62</v>
      </c>
      <c r="D337" s="20" t="s">
        <v>83</v>
      </c>
      <c r="E337" s="97" t="s">
        <v>452</v>
      </c>
      <c r="F337" s="97" t="s">
        <v>92</v>
      </c>
      <c r="G337" s="187">
        <f>G338</f>
        <v>526.79999999999995</v>
      </c>
      <c r="H337" s="187">
        <f>H338</f>
        <v>525.79999999999995</v>
      </c>
      <c r="I337" s="187">
        <f t="shared" si="29"/>
        <v>1</v>
      </c>
      <c r="J337" s="189">
        <f t="shared" si="30"/>
        <v>99.810174639331819</v>
      </c>
    </row>
    <row r="338" spans="1:10" ht="25.5">
      <c r="A338" s="16" t="s">
        <v>556</v>
      </c>
      <c r="B338" s="19" t="s">
        <v>271</v>
      </c>
      <c r="C338" s="20" t="s">
        <v>62</v>
      </c>
      <c r="D338" s="20" t="s">
        <v>83</v>
      </c>
      <c r="E338" s="97" t="s">
        <v>452</v>
      </c>
      <c r="F338" s="97" t="s">
        <v>89</v>
      </c>
      <c r="G338" s="187">
        <f>889-362.2</f>
        <v>526.79999999999995</v>
      </c>
      <c r="H338" s="187">
        <v>525.79999999999995</v>
      </c>
      <c r="I338" s="187">
        <f t="shared" si="29"/>
        <v>1</v>
      </c>
      <c r="J338" s="189">
        <f t="shared" si="30"/>
        <v>99.810174639331819</v>
      </c>
    </row>
    <row r="339" spans="1:10">
      <c r="A339" s="16" t="s">
        <v>108</v>
      </c>
      <c r="B339" s="19" t="s">
        <v>271</v>
      </c>
      <c r="C339" s="20" t="s">
        <v>62</v>
      </c>
      <c r="D339" s="20" t="s">
        <v>83</v>
      </c>
      <c r="E339" s="97" t="s">
        <v>452</v>
      </c>
      <c r="F339" s="97" t="s">
        <v>109</v>
      </c>
      <c r="G339" s="187">
        <f>G340</f>
        <v>140</v>
      </c>
      <c r="H339" s="187">
        <f>H340</f>
        <v>140</v>
      </c>
      <c r="I339" s="187">
        <f t="shared" si="29"/>
        <v>0</v>
      </c>
      <c r="J339" s="189">
        <f t="shared" si="30"/>
        <v>100</v>
      </c>
    </row>
    <row r="340" spans="1:10">
      <c r="A340" s="28" t="s">
        <v>597</v>
      </c>
      <c r="B340" s="19" t="s">
        <v>271</v>
      </c>
      <c r="C340" s="20" t="s">
        <v>62</v>
      </c>
      <c r="D340" s="20" t="s">
        <v>83</v>
      </c>
      <c r="E340" s="97" t="s">
        <v>689</v>
      </c>
      <c r="F340" s="121">
        <v>830</v>
      </c>
      <c r="G340" s="187">
        <v>140</v>
      </c>
      <c r="H340" s="187">
        <v>140</v>
      </c>
      <c r="I340" s="187">
        <f t="shared" si="29"/>
        <v>0</v>
      </c>
      <c r="J340" s="189">
        <f t="shared" si="30"/>
        <v>100</v>
      </c>
    </row>
    <row r="341" spans="1:10">
      <c r="A341" s="14" t="s">
        <v>126</v>
      </c>
      <c r="B341" s="35" t="s">
        <v>271</v>
      </c>
      <c r="C341" s="35" t="s">
        <v>68</v>
      </c>
      <c r="D341" s="35" t="s">
        <v>33</v>
      </c>
      <c r="E341" s="97"/>
      <c r="F341" s="97"/>
      <c r="G341" s="185">
        <f t="shared" ref="G341:H345" si="31">G342</f>
        <v>531.70000000000005</v>
      </c>
      <c r="H341" s="185">
        <f t="shared" si="31"/>
        <v>531.70000000000005</v>
      </c>
      <c r="I341" s="187">
        <f t="shared" si="29"/>
        <v>0</v>
      </c>
      <c r="J341" s="189">
        <f t="shared" si="30"/>
        <v>100</v>
      </c>
    </row>
    <row r="342" spans="1:10">
      <c r="A342" s="29" t="s">
        <v>125</v>
      </c>
      <c r="B342" s="19" t="s">
        <v>271</v>
      </c>
      <c r="C342" s="19" t="s">
        <v>68</v>
      </c>
      <c r="D342" s="19" t="s">
        <v>62</v>
      </c>
      <c r="E342" s="97"/>
      <c r="F342" s="97"/>
      <c r="G342" s="185">
        <f t="shared" si="31"/>
        <v>531.70000000000005</v>
      </c>
      <c r="H342" s="185">
        <f t="shared" si="31"/>
        <v>531.70000000000005</v>
      </c>
      <c r="I342" s="187">
        <f t="shared" si="29"/>
        <v>0</v>
      </c>
      <c r="J342" s="189">
        <f t="shared" si="30"/>
        <v>100</v>
      </c>
    </row>
    <row r="343" spans="1:10">
      <c r="A343" s="29" t="s">
        <v>168</v>
      </c>
      <c r="B343" s="19" t="s">
        <v>271</v>
      </c>
      <c r="C343" s="19" t="s">
        <v>68</v>
      </c>
      <c r="D343" s="19" t="s">
        <v>62</v>
      </c>
      <c r="E343" s="97" t="s">
        <v>436</v>
      </c>
      <c r="F343" s="97"/>
      <c r="G343" s="187">
        <f t="shared" si="31"/>
        <v>531.70000000000005</v>
      </c>
      <c r="H343" s="187">
        <f t="shared" si="31"/>
        <v>531.70000000000005</v>
      </c>
      <c r="I343" s="187">
        <f t="shared" si="29"/>
        <v>0</v>
      </c>
      <c r="J343" s="189">
        <f t="shared" si="30"/>
        <v>100</v>
      </c>
    </row>
    <row r="344" spans="1:10">
      <c r="A344" s="16" t="s">
        <v>199</v>
      </c>
      <c r="B344" s="19" t="s">
        <v>271</v>
      </c>
      <c r="C344" s="19" t="s">
        <v>68</v>
      </c>
      <c r="D344" s="19" t="s">
        <v>62</v>
      </c>
      <c r="E344" s="97" t="s">
        <v>437</v>
      </c>
      <c r="F344" s="97"/>
      <c r="G344" s="187">
        <f t="shared" si="31"/>
        <v>531.70000000000005</v>
      </c>
      <c r="H344" s="187">
        <f t="shared" si="31"/>
        <v>531.70000000000005</v>
      </c>
      <c r="I344" s="187">
        <f t="shared" si="29"/>
        <v>0</v>
      </c>
      <c r="J344" s="189">
        <f t="shared" si="30"/>
        <v>100</v>
      </c>
    </row>
    <row r="345" spans="1:10" ht="25.5">
      <c r="A345" s="16" t="s">
        <v>331</v>
      </c>
      <c r="B345" s="19" t="s">
        <v>271</v>
      </c>
      <c r="C345" s="19" t="s">
        <v>68</v>
      </c>
      <c r="D345" s="19" t="s">
        <v>62</v>
      </c>
      <c r="E345" s="97" t="s">
        <v>437</v>
      </c>
      <c r="F345" s="97" t="s">
        <v>92</v>
      </c>
      <c r="G345" s="187">
        <f t="shared" si="31"/>
        <v>531.70000000000005</v>
      </c>
      <c r="H345" s="187">
        <f t="shared" si="31"/>
        <v>531.70000000000005</v>
      </c>
      <c r="I345" s="187">
        <f t="shared" si="29"/>
        <v>0</v>
      </c>
      <c r="J345" s="189">
        <f t="shared" si="30"/>
        <v>100</v>
      </c>
    </row>
    <row r="346" spans="1:10" ht="25.5">
      <c r="A346" s="16" t="s">
        <v>556</v>
      </c>
      <c r="B346" s="19" t="s">
        <v>271</v>
      </c>
      <c r="C346" s="19" t="s">
        <v>68</v>
      </c>
      <c r="D346" s="19" t="s">
        <v>62</v>
      </c>
      <c r="E346" s="97" t="s">
        <v>437</v>
      </c>
      <c r="F346" s="97" t="s">
        <v>89</v>
      </c>
      <c r="G346" s="187">
        <f>487.5+44.2</f>
        <v>531.70000000000005</v>
      </c>
      <c r="H346" s="187">
        <v>531.70000000000005</v>
      </c>
      <c r="I346" s="187">
        <f t="shared" si="29"/>
        <v>0</v>
      </c>
      <c r="J346" s="189">
        <f t="shared" si="30"/>
        <v>100</v>
      </c>
    </row>
    <row r="347" spans="1:10">
      <c r="A347" s="15" t="s">
        <v>81</v>
      </c>
      <c r="B347" s="35" t="s">
        <v>271</v>
      </c>
      <c r="C347" s="31" t="s">
        <v>74</v>
      </c>
      <c r="D347" s="31" t="s">
        <v>33</v>
      </c>
      <c r="E347" s="97"/>
      <c r="F347" s="97"/>
      <c r="G347" s="185">
        <f t="shared" ref="G347:H351" si="32">G348</f>
        <v>5617</v>
      </c>
      <c r="H347" s="185">
        <f t="shared" si="32"/>
        <v>5617</v>
      </c>
      <c r="I347" s="187">
        <f t="shared" si="29"/>
        <v>0</v>
      </c>
      <c r="J347" s="189">
        <f t="shared" si="30"/>
        <v>100</v>
      </c>
    </row>
    <row r="348" spans="1:10">
      <c r="A348" s="15" t="s">
        <v>12</v>
      </c>
      <c r="B348" s="35" t="s">
        <v>271</v>
      </c>
      <c r="C348" s="31" t="s">
        <v>74</v>
      </c>
      <c r="D348" s="31" t="s">
        <v>63</v>
      </c>
      <c r="E348" s="100"/>
      <c r="F348" s="97"/>
      <c r="G348" s="187">
        <f t="shared" si="32"/>
        <v>5617</v>
      </c>
      <c r="H348" s="187">
        <f t="shared" si="32"/>
        <v>5617</v>
      </c>
      <c r="I348" s="187">
        <f t="shared" si="29"/>
        <v>0</v>
      </c>
      <c r="J348" s="189">
        <f t="shared" si="30"/>
        <v>100</v>
      </c>
    </row>
    <row r="349" spans="1:10" ht="25.5">
      <c r="A349" s="16" t="s">
        <v>169</v>
      </c>
      <c r="B349" s="19" t="s">
        <v>271</v>
      </c>
      <c r="C349" s="20" t="s">
        <v>74</v>
      </c>
      <c r="D349" s="20" t="s">
        <v>63</v>
      </c>
      <c r="E349" s="97" t="s">
        <v>453</v>
      </c>
      <c r="F349" s="97"/>
      <c r="G349" s="187">
        <f t="shared" si="32"/>
        <v>5617</v>
      </c>
      <c r="H349" s="187">
        <f t="shared" si="32"/>
        <v>5617</v>
      </c>
      <c r="I349" s="187">
        <f t="shared" si="29"/>
        <v>0</v>
      </c>
      <c r="J349" s="189">
        <f t="shared" si="30"/>
        <v>100</v>
      </c>
    </row>
    <row r="350" spans="1:10" ht="25.5">
      <c r="A350" s="16" t="s">
        <v>183</v>
      </c>
      <c r="B350" s="19" t="s">
        <v>271</v>
      </c>
      <c r="C350" s="20" t="s">
        <v>74</v>
      </c>
      <c r="D350" s="20" t="s">
        <v>63</v>
      </c>
      <c r="E350" s="97" t="s">
        <v>454</v>
      </c>
      <c r="F350" s="97"/>
      <c r="G350" s="187">
        <f t="shared" si="32"/>
        <v>5617</v>
      </c>
      <c r="H350" s="187">
        <f t="shared" si="32"/>
        <v>5617</v>
      </c>
      <c r="I350" s="187">
        <f t="shared" si="29"/>
        <v>0</v>
      </c>
      <c r="J350" s="189">
        <f t="shared" si="30"/>
        <v>100</v>
      </c>
    </row>
    <row r="351" spans="1:10" ht="25.5">
      <c r="A351" s="16" t="s">
        <v>93</v>
      </c>
      <c r="B351" s="19" t="s">
        <v>271</v>
      </c>
      <c r="C351" s="20" t="s">
        <v>74</v>
      </c>
      <c r="D351" s="20" t="s">
        <v>63</v>
      </c>
      <c r="E351" s="97" t="s">
        <v>454</v>
      </c>
      <c r="F351" s="97" t="s">
        <v>94</v>
      </c>
      <c r="G351" s="187">
        <f t="shared" si="32"/>
        <v>5617</v>
      </c>
      <c r="H351" s="187">
        <f t="shared" si="32"/>
        <v>5617</v>
      </c>
      <c r="I351" s="187">
        <f t="shared" si="29"/>
        <v>0</v>
      </c>
      <c r="J351" s="189">
        <f t="shared" si="30"/>
        <v>100</v>
      </c>
    </row>
    <row r="352" spans="1:10">
      <c r="A352" s="16" t="s">
        <v>95</v>
      </c>
      <c r="B352" s="19" t="s">
        <v>271</v>
      </c>
      <c r="C352" s="20" t="s">
        <v>74</v>
      </c>
      <c r="D352" s="20" t="s">
        <v>63</v>
      </c>
      <c r="E352" s="97" t="s">
        <v>454</v>
      </c>
      <c r="F352" s="97" t="s">
        <v>96</v>
      </c>
      <c r="G352" s="187">
        <v>5617</v>
      </c>
      <c r="H352" s="187">
        <v>5617</v>
      </c>
      <c r="I352" s="187">
        <f t="shared" si="29"/>
        <v>0</v>
      </c>
      <c r="J352" s="189">
        <f t="shared" si="30"/>
        <v>100</v>
      </c>
    </row>
    <row r="353" spans="1:10" ht="22.9" customHeight="1">
      <c r="A353" s="15" t="s">
        <v>131</v>
      </c>
      <c r="B353" s="35" t="s">
        <v>272</v>
      </c>
      <c r="C353" s="31"/>
      <c r="D353" s="31"/>
      <c r="E353" s="100"/>
      <c r="F353" s="100"/>
      <c r="G353" s="185">
        <f>G354</f>
        <v>366458.2</v>
      </c>
      <c r="H353" s="185">
        <f>H354</f>
        <v>365240.6</v>
      </c>
      <c r="I353" s="187">
        <f t="shared" si="29"/>
        <v>1217.6000000000349</v>
      </c>
      <c r="J353" s="189">
        <f t="shared" si="30"/>
        <v>99.667738366886041</v>
      </c>
    </row>
    <row r="354" spans="1:10">
      <c r="A354" s="15" t="s">
        <v>7</v>
      </c>
      <c r="B354" s="35" t="s">
        <v>272</v>
      </c>
      <c r="C354" s="31" t="s">
        <v>65</v>
      </c>
      <c r="D354" s="31" t="s">
        <v>33</v>
      </c>
      <c r="E354" s="97"/>
      <c r="F354" s="97"/>
      <c r="G354" s="185">
        <f>G355+G411+G540+G574+G498</f>
        <v>366458.2</v>
      </c>
      <c r="H354" s="185">
        <f>H355+H411+H540+H574+H498</f>
        <v>365240.6</v>
      </c>
      <c r="I354" s="187">
        <f t="shared" si="29"/>
        <v>1217.6000000000349</v>
      </c>
      <c r="J354" s="189">
        <f t="shared" si="30"/>
        <v>99.667738366886041</v>
      </c>
    </row>
    <row r="355" spans="1:10">
      <c r="A355" s="15" t="s">
        <v>8</v>
      </c>
      <c r="B355" s="35" t="s">
        <v>272</v>
      </c>
      <c r="C355" s="31" t="s">
        <v>65</v>
      </c>
      <c r="D355" s="31" t="s">
        <v>62</v>
      </c>
      <c r="E355" s="100"/>
      <c r="F355" s="100"/>
      <c r="G355" s="185">
        <f>G357+G362+G376+G396+G401</f>
        <v>77085</v>
      </c>
      <c r="H355" s="185">
        <f>H357+H362+H376+H396+H401</f>
        <v>77008.899999999994</v>
      </c>
      <c r="I355" s="187">
        <f t="shared" si="29"/>
        <v>76.100000000005821</v>
      </c>
      <c r="J355" s="189">
        <f t="shared" si="30"/>
        <v>99.901277810209493</v>
      </c>
    </row>
    <row r="356" spans="1:10">
      <c r="A356" s="16" t="s">
        <v>430</v>
      </c>
      <c r="B356" s="19" t="s">
        <v>272</v>
      </c>
      <c r="C356" s="20" t="s">
        <v>65</v>
      </c>
      <c r="D356" s="20" t="s">
        <v>62</v>
      </c>
      <c r="E356" s="102" t="s">
        <v>431</v>
      </c>
      <c r="F356" s="97"/>
      <c r="G356" s="187">
        <f>G357+G362+G376+G396</f>
        <v>63172.5</v>
      </c>
      <c r="H356" s="187">
        <f>H357+H362+H376+H396</f>
        <v>63142.5</v>
      </c>
      <c r="I356" s="187">
        <f t="shared" si="29"/>
        <v>30</v>
      </c>
      <c r="J356" s="189">
        <f t="shared" si="30"/>
        <v>99.952510981835445</v>
      </c>
    </row>
    <row r="357" spans="1:10" ht="38.25">
      <c r="A357" s="28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357" s="19" t="s">
        <v>272</v>
      </c>
      <c r="C357" s="20" t="s">
        <v>65</v>
      </c>
      <c r="D357" s="20" t="s">
        <v>62</v>
      </c>
      <c r="E357" s="102" t="str">
        <f>'МП пр.5'!B17</f>
        <v xml:space="preserve">7Б 0 00 00000 </v>
      </c>
      <c r="F357" s="97"/>
      <c r="G357" s="187">
        <f t="shared" ref="G357:H360" si="33">G358</f>
        <v>170.70000000000002</v>
      </c>
      <c r="H357" s="187">
        <f t="shared" si="33"/>
        <v>170.7</v>
      </c>
      <c r="I357" s="187">
        <f t="shared" si="29"/>
        <v>0</v>
      </c>
      <c r="J357" s="189">
        <f t="shared" si="30"/>
        <v>99.999999999999986</v>
      </c>
    </row>
    <row r="358" spans="1:10" ht="38.25">
      <c r="A358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8" s="19" t="s">
        <v>272</v>
      </c>
      <c r="C358" s="20" t="s">
        <v>65</v>
      </c>
      <c r="D358" s="20" t="s">
        <v>62</v>
      </c>
      <c r="E358" s="102" t="str">
        <f>'МП пр.5'!B18</f>
        <v xml:space="preserve">7Б 0 01 00000 </v>
      </c>
      <c r="F358" s="97"/>
      <c r="G358" s="187">
        <f t="shared" si="33"/>
        <v>170.70000000000002</v>
      </c>
      <c r="H358" s="187">
        <f t="shared" si="33"/>
        <v>170.7</v>
      </c>
      <c r="I358" s="187">
        <f t="shared" si="29"/>
        <v>0</v>
      </c>
      <c r="J358" s="189">
        <f t="shared" si="30"/>
        <v>99.999999999999986</v>
      </c>
    </row>
    <row r="359" spans="1:10" ht="25.5">
      <c r="A359" s="28" t="str">
        <f>'МП пр.5'!A19</f>
        <v>Обслуживание систем видеонаблюдения, охранной сигнализации</v>
      </c>
      <c r="B359" s="19" t="s">
        <v>272</v>
      </c>
      <c r="C359" s="20" t="s">
        <v>65</v>
      </c>
      <c r="D359" s="20" t="s">
        <v>62</v>
      </c>
      <c r="E359" s="102" t="str">
        <f>'МП пр.5'!B19</f>
        <v xml:space="preserve">7Б 0 01 91600 </v>
      </c>
      <c r="F359" s="97"/>
      <c r="G359" s="187">
        <f t="shared" si="33"/>
        <v>170.70000000000002</v>
      </c>
      <c r="H359" s="187">
        <f t="shared" si="33"/>
        <v>170.7</v>
      </c>
      <c r="I359" s="187">
        <f t="shared" si="29"/>
        <v>0</v>
      </c>
      <c r="J359" s="189">
        <f t="shared" si="30"/>
        <v>99.999999999999986</v>
      </c>
    </row>
    <row r="360" spans="1:10" ht="25.5">
      <c r="A360" s="16" t="s">
        <v>93</v>
      </c>
      <c r="B360" s="19" t="s">
        <v>272</v>
      </c>
      <c r="C360" s="20" t="s">
        <v>65</v>
      </c>
      <c r="D360" s="20" t="s">
        <v>62</v>
      </c>
      <c r="E360" s="102" t="s">
        <v>361</v>
      </c>
      <c r="F360" s="97" t="s">
        <v>94</v>
      </c>
      <c r="G360" s="187">
        <f t="shared" si="33"/>
        <v>170.70000000000002</v>
      </c>
      <c r="H360" s="187">
        <f t="shared" si="33"/>
        <v>170.7</v>
      </c>
      <c r="I360" s="187">
        <f t="shared" si="29"/>
        <v>0</v>
      </c>
      <c r="J360" s="189">
        <f t="shared" si="30"/>
        <v>99.999999999999986</v>
      </c>
    </row>
    <row r="361" spans="1:10">
      <c r="A361" s="16" t="s">
        <v>97</v>
      </c>
      <c r="B361" s="19" t="s">
        <v>272</v>
      </c>
      <c r="C361" s="20" t="s">
        <v>65</v>
      </c>
      <c r="D361" s="20" t="s">
        <v>62</v>
      </c>
      <c r="E361" s="102" t="s">
        <v>361</v>
      </c>
      <c r="F361" s="97" t="s">
        <v>98</v>
      </c>
      <c r="G361" s="187">
        <f>'МП пр.5'!G24</f>
        <v>170.70000000000002</v>
      </c>
      <c r="H361" s="187">
        <f>'МП пр.5'!H24</f>
        <v>170.7</v>
      </c>
      <c r="I361" s="187">
        <f t="shared" si="29"/>
        <v>0</v>
      </c>
      <c r="J361" s="189">
        <f t="shared" si="30"/>
        <v>99.999999999999986</v>
      </c>
    </row>
    <row r="362" spans="1:10" ht="25.5">
      <c r="A362" s="28" t="str">
        <f>'МП пр.5'!A257</f>
        <v>Муниципальная программа  "Пожарная безопасность в Сусуманском городском округе на 2018- 2022 годы"</v>
      </c>
      <c r="B362" s="19" t="s">
        <v>272</v>
      </c>
      <c r="C362" s="20" t="s">
        <v>65</v>
      </c>
      <c r="D362" s="20" t="s">
        <v>62</v>
      </c>
      <c r="E362" s="102" t="str">
        <f>'МП пр.5'!B257</f>
        <v xml:space="preserve">7П 0 00 00000 </v>
      </c>
      <c r="F362" s="97"/>
      <c r="G362" s="187">
        <f>G363</f>
        <v>418.4</v>
      </c>
      <c r="H362" s="187">
        <f>H363</f>
        <v>418.4</v>
      </c>
      <c r="I362" s="187">
        <f t="shared" si="29"/>
        <v>0</v>
      </c>
      <c r="J362" s="189">
        <f t="shared" si="30"/>
        <v>100</v>
      </c>
    </row>
    <row r="363" spans="1:10" ht="38.25">
      <c r="A363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3" s="19" t="s">
        <v>272</v>
      </c>
      <c r="C363" s="20" t="s">
        <v>65</v>
      </c>
      <c r="D363" s="20" t="s">
        <v>62</v>
      </c>
      <c r="E363" s="102" t="str">
        <f>'МП пр.5'!B258</f>
        <v xml:space="preserve">7П 0 01 00000 </v>
      </c>
      <c r="F363" s="97"/>
      <c r="G363" s="187">
        <f>G364+G367+G370+G373</f>
        <v>418.4</v>
      </c>
      <c r="H363" s="187">
        <f>H364+H367+H370+H373</f>
        <v>418.4</v>
      </c>
      <c r="I363" s="187">
        <f t="shared" si="29"/>
        <v>0</v>
      </c>
      <c r="J363" s="189">
        <f t="shared" si="30"/>
        <v>100</v>
      </c>
    </row>
    <row r="364" spans="1:10" ht="38.25">
      <c r="A364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4" s="19" t="s">
        <v>272</v>
      </c>
      <c r="C364" s="20" t="s">
        <v>65</v>
      </c>
      <c r="D364" s="20" t="s">
        <v>62</v>
      </c>
      <c r="E364" s="102" t="str">
        <f>'МП пр.5'!B259</f>
        <v xml:space="preserve">7П 0 01 94100 </v>
      </c>
      <c r="F364" s="97"/>
      <c r="G364" s="187">
        <f>G365</f>
        <v>268.8</v>
      </c>
      <c r="H364" s="187">
        <f>H365</f>
        <v>268.8</v>
      </c>
      <c r="I364" s="187">
        <f t="shared" si="29"/>
        <v>0</v>
      </c>
      <c r="J364" s="189">
        <f t="shared" si="30"/>
        <v>100</v>
      </c>
    </row>
    <row r="365" spans="1:10" ht="25.5">
      <c r="A365" s="16" t="s">
        <v>93</v>
      </c>
      <c r="B365" s="19" t="s">
        <v>272</v>
      </c>
      <c r="C365" s="20" t="s">
        <v>65</v>
      </c>
      <c r="D365" s="20" t="s">
        <v>62</v>
      </c>
      <c r="E365" s="102" t="s">
        <v>234</v>
      </c>
      <c r="F365" s="97" t="s">
        <v>94</v>
      </c>
      <c r="G365" s="187">
        <f>G366</f>
        <v>268.8</v>
      </c>
      <c r="H365" s="187">
        <f>H366</f>
        <v>268.8</v>
      </c>
      <c r="I365" s="187">
        <f t="shared" si="29"/>
        <v>0</v>
      </c>
      <c r="J365" s="189">
        <f t="shared" si="30"/>
        <v>100</v>
      </c>
    </row>
    <row r="366" spans="1:10">
      <c r="A366" s="16" t="s">
        <v>97</v>
      </c>
      <c r="B366" s="19" t="s">
        <v>272</v>
      </c>
      <c r="C366" s="20" t="s">
        <v>65</v>
      </c>
      <c r="D366" s="20" t="s">
        <v>62</v>
      </c>
      <c r="E366" s="102" t="s">
        <v>234</v>
      </c>
      <c r="F366" s="97" t="s">
        <v>98</v>
      </c>
      <c r="G366" s="187">
        <f>'МП пр.5'!G264</f>
        <v>268.8</v>
      </c>
      <c r="H366" s="187">
        <f>'МП пр.5'!H264</f>
        <v>268.8</v>
      </c>
      <c r="I366" s="187">
        <f t="shared" si="29"/>
        <v>0</v>
      </c>
      <c r="J366" s="189">
        <f t="shared" si="30"/>
        <v>100</v>
      </c>
    </row>
    <row r="367" spans="1:10" ht="25.5">
      <c r="A367" s="28" t="str">
        <f>'МП пр.5'!A319</f>
        <v>Проведение замеров сопротивления изоляции электросетей и электрооборудования</v>
      </c>
      <c r="B367" s="19" t="s">
        <v>272</v>
      </c>
      <c r="C367" s="20" t="s">
        <v>65</v>
      </c>
      <c r="D367" s="20" t="s">
        <v>62</v>
      </c>
      <c r="E367" s="102" t="str">
        <f>'МП пр.5'!B319</f>
        <v xml:space="preserve">7П 0 01 94400 </v>
      </c>
      <c r="F367" s="97"/>
      <c r="G367" s="187">
        <f>G368</f>
        <v>124.5</v>
      </c>
      <c r="H367" s="187">
        <f>H368</f>
        <v>124.5</v>
      </c>
      <c r="I367" s="187">
        <f t="shared" si="29"/>
        <v>0</v>
      </c>
      <c r="J367" s="189">
        <f t="shared" si="30"/>
        <v>100</v>
      </c>
    </row>
    <row r="368" spans="1:10" ht="25.5">
      <c r="A368" s="16" t="s">
        <v>93</v>
      </c>
      <c r="B368" s="19" t="s">
        <v>272</v>
      </c>
      <c r="C368" s="20" t="s">
        <v>65</v>
      </c>
      <c r="D368" s="20" t="s">
        <v>62</v>
      </c>
      <c r="E368" s="102" t="s">
        <v>235</v>
      </c>
      <c r="F368" s="97" t="s">
        <v>94</v>
      </c>
      <c r="G368" s="187">
        <f>G369</f>
        <v>124.5</v>
      </c>
      <c r="H368" s="187">
        <f>H369</f>
        <v>124.5</v>
      </c>
      <c r="I368" s="187">
        <f t="shared" si="29"/>
        <v>0</v>
      </c>
      <c r="J368" s="189">
        <f t="shared" si="30"/>
        <v>100</v>
      </c>
    </row>
    <row r="369" spans="1:10">
      <c r="A369" s="16" t="s">
        <v>97</v>
      </c>
      <c r="B369" s="19" t="s">
        <v>272</v>
      </c>
      <c r="C369" s="20" t="s">
        <v>65</v>
      </c>
      <c r="D369" s="20" t="s">
        <v>62</v>
      </c>
      <c r="E369" s="102" t="s">
        <v>235</v>
      </c>
      <c r="F369" s="97" t="s">
        <v>98</v>
      </c>
      <c r="G369" s="187">
        <f>'МП пр.5'!G324</f>
        <v>124.5</v>
      </c>
      <c r="H369" s="187">
        <f>'МП пр.5'!H324</f>
        <v>124.5</v>
      </c>
      <c r="I369" s="187">
        <f t="shared" si="29"/>
        <v>0</v>
      </c>
      <c r="J369" s="189">
        <f t="shared" si="30"/>
        <v>100</v>
      </c>
    </row>
    <row r="370" spans="1:10" ht="38.25">
      <c r="A370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370" s="19" t="s">
        <v>272</v>
      </c>
      <c r="C370" s="20" t="s">
        <v>65</v>
      </c>
      <c r="D370" s="20" t="s">
        <v>62</v>
      </c>
      <c r="E370" s="102" t="str">
        <f>'МП пр.5'!B338</f>
        <v xml:space="preserve">7П 0 01 94500 </v>
      </c>
      <c r="F370" s="97"/>
      <c r="G370" s="187">
        <f>G371</f>
        <v>19.200000000000003</v>
      </c>
      <c r="H370" s="187">
        <f>H371</f>
        <v>19.2</v>
      </c>
      <c r="I370" s="187">
        <f t="shared" si="29"/>
        <v>0</v>
      </c>
      <c r="J370" s="189">
        <f t="shared" si="30"/>
        <v>99.999999999999972</v>
      </c>
    </row>
    <row r="371" spans="1:10" ht="25.5">
      <c r="A371" s="16" t="s">
        <v>93</v>
      </c>
      <c r="B371" s="19" t="s">
        <v>272</v>
      </c>
      <c r="C371" s="20" t="s">
        <v>65</v>
      </c>
      <c r="D371" s="20" t="s">
        <v>62</v>
      </c>
      <c r="E371" s="102" t="s">
        <v>236</v>
      </c>
      <c r="F371" s="97" t="s">
        <v>94</v>
      </c>
      <c r="G371" s="187">
        <f>G372</f>
        <v>19.200000000000003</v>
      </c>
      <c r="H371" s="187">
        <f>H372</f>
        <v>19.2</v>
      </c>
      <c r="I371" s="187">
        <f t="shared" si="29"/>
        <v>0</v>
      </c>
      <c r="J371" s="189">
        <f t="shared" si="30"/>
        <v>99.999999999999972</v>
      </c>
    </row>
    <row r="372" spans="1:10">
      <c r="A372" s="16" t="s">
        <v>97</v>
      </c>
      <c r="B372" s="19" t="s">
        <v>272</v>
      </c>
      <c r="C372" s="20" t="s">
        <v>65</v>
      </c>
      <c r="D372" s="20" t="s">
        <v>62</v>
      </c>
      <c r="E372" s="102" t="s">
        <v>236</v>
      </c>
      <c r="F372" s="97" t="s">
        <v>98</v>
      </c>
      <c r="G372" s="187">
        <f>'МП пр.5'!G343</f>
        <v>19.200000000000003</v>
      </c>
      <c r="H372" s="187">
        <f>'МП пр.5'!H343</f>
        <v>19.2</v>
      </c>
      <c r="I372" s="187">
        <f t="shared" si="29"/>
        <v>0</v>
      </c>
      <c r="J372" s="189">
        <f t="shared" si="30"/>
        <v>99.999999999999972</v>
      </c>
    </row>
    <row r="373" spans="1:10">
      <c r="A373" s="16" t="str">
        <f>'МП пр.5'!A362</f>
        <v>Обучение сотрудников по пожарной безопасности</v>
      </c>
      <c r="B373" s="19" t="s">
        <v>272</v>
      </c>
      <c r="C373" s="20" t="s">
        <v>65</v>
      </c>
      <c r="D373" s="20" t="s">
        <v>62</v>
      </c>
      <c r="E373" s="102" t="str">
        <f>'МП пр.5'!B362</f>
        <v xml:space="preserve">7П 0 01 94510 </v>
      </c>
      <c r="F373" s="97"/>
      <c r="G373" s="187">
        <f>G374</f>
        <v>5.9</v>
      </c>
      <c r="H373" s="187">
        <f>H374</f>
        <v>5.9</v>
      </c>
      <c r="I373" s="187">
        <f t="shared" si="29"/>
        <v>0</v>
      </c>
      <c r="J373" s="189">
        <f t="shared" si="30"/>
        <v>100</v>
      </c>
    </row>
    <row r="374" spans="1:10" ht="25.5">
      <c r="A374" s="16" t="s">
        <v>93</v>
      </c>
      <c r="B374" s="19" t="s">
        <v>272</v>
      </c>
      <c r="C374" s="20" t="s">
        <v>65</v>
      </c>
      <c r="D374" s="20" t="s">
        <v>62</v>
      </c>
      <c r="E374" s="102" t="s">
        <v>297</v>
      </c>
      <c r="F374" s="97" t="s">
        <v>94</v>
      </c>
      <c r="G374" s="187">
        <f>G375</f>
        <v>5.9</v>
      </c>
      <c r="H374" s="187">
        <f>H375</f>
        <v>5.9</v>
      </c>
      <c r="I374" s="187">
        <f t="shared" si="29"/>
        <v>0</v>
      </c>
      <c r="J374" s="189">
        <f t="shared" si="30"/>
        <v>100</v>
      </c>
    </row>
    <row r="375" spans="1:10">
      <c r="A375" s="16" t="s">
        <v>97</v>
      </c>
      <c r="B375" s="19" t="s">
        <v>272</v>
      </c>
      <c r="C375" s="20" t="s">
        <v>65</v>
      </c>
      <c r="D375" s="20" t="s">
        <v>62</v>
      </c>
      <c r="E375" s="102" t="s">
        <v>297</v>
      </c>
      <c r="F375" s="97" t="s">
        <v>98</v>
      </c>
      <c r="G375" s="187">
        <f>'МП пр.5'!G367</f>
        <v>5.9</v>
      </c>
      <c r="H375" s="187">
        <f>'МП пр.5'!H367</f>
        <v>5.9</v>
      </c>
      <c r="I375" s="187">
        <f t="shared" si="29"/>
        <v>0</v>
      </c>
      <c r="J375" s="189">
        <f t="shared" si="30"/>
        <v>100</v>
      </c>
    </row>
    <row r="376" spans="1:10" ht="25.5">
      <c r="A376" s="28" t="str">
        <f>'МП пр.5'!A384</f>
        <v>Муниципальная  программа  "Развитие образования в Сусуманском городском округе  на 2018- 2022 годы"</v>
      </c>
      <c r="B376" s="19" t="s">
        <v>272</v>
      </c>
      <c r="C376" s="20" t="s">
        <v>65</v>
      </c>
      <c r="D376" s="20" t="s">
        <v>62</v>
      </c>
      <c r="E376" s="102" t="str">
        <f>'МП пр.5'!B384</f>
        <v xml:space="preserve">7Р 0 00 00000 </v>
      </c>
      <c r="F376" s="97"/>
      <c r="G376" s="187">
        <f>G377</f>
        <v>62508</v>
      </c>
      <c r="H376" s="187">
        <f>H377</f>
        <v>62478.1</v>
      </c>
      <c r="I376" s="187">
        <f t="shared" si="29"/>
        <v>29.900000000001455</v>
      </c>
      <c r="J376" s="189">
        <f t="shared" si="30"/>
        <v>99.952166122736287</v>
      </c>
    </row>
    <row r="377" spans="1:10" ht="25.5">
      <c r="A377" s="16" t="str">
        <f>'МП пр.5'!A392</f>
        <v>Основное мероприятие "Управление развитием отрасли образования"</v>
      </c>
      <c r="B377" s="19" t="s">
        <v>272</v>
      </c>
      <c r="C377" s="20" t="s">
        <v>65</v>
      </c>
      <c r="D377" s="20" t="s">
        <v>62</v>
      </c>
      <c r="E377" s="97" t="str">
        <f>'МП пр.5'!B392</f>
        <v>7Р 0 02 00000</v>
      </c>
      <c r="F377" s="97"/>
      <c r="G377" s="187">
        <f>G384+G387+G390+G393+G378+G381</f>
        <v>62508</v>
      </c>
      <c r="H377" s="187">
        <f>H384+H387+H390+H393+H378+H381</f>
        <v>62478.1</v>
      </c>
      <c r="I377" s="187">
        <f t="shared" si="29"/>
        <v>29.900000000001455</v>
      </c>
      <c r="J377" s="189">
        <f t="shared" si="30"/>
        <v>99.952166122736287</v>
      </c>
    </row>
    <row r="378" spans="1:10" ht="89.25">
      <c r="A378" s="293" t="s">
        <v>553</v>
      </c>
      <c r="B378" s="113" t="s">
        <v>272</v>
      </c>
      <c r="C378" s="110" t="s">
        <v>65</v>
      </c>
      <c r="D378" s="110" t="s">
        <v>62</v>
      </c>
      <c r="E378" s="110" t="s">
        <v>554</v>
      </c>
      <c r="F378" s="110"/>
      <c r="G378" s="187">
        <f>G379</f>
        <v>40.700000000000003</v>
      </c>
      <c r="H378" s="187">
        <f>H379</f>
        <v>20</v>
      </c>
      <c r="I378" s="187">
        <f t="shared" si="29"/>
        <v>20.700000000000003</v>
      </c>
      <c r="J378" s="189">
        <f t="shared" si="30"/>
        <v>49.140049140049136</v>
      </c>
    </row>
    <row r="379" spans="1:10" ht="25.5">
      <c r="A379" s="109" t="s">
        <v>93</v>
      </c>
      <c r="B379" s="113" t="s">
        <v>272</v>
      </c>
      <c r="C379" s="110" t="s">
        <v>65</v>
      </c>
      <c r="D379" s="110" t="s">
        <v>62</v>
      </c>
      <c r="E379" s="110" t="s">
        <v>554</v>
      </c>
      <c r="F379" s="110" t="s">
        <v>94</v>
      </c>
      <c r="G379" s="187">
        <f>G380</f>
        <v>40.700000000000003</v>
      </c>
      <c r="H379" s="187">
        <f>H380</f>
        <v>20</v>
      </c>
      <c r="I379" s="187">
        <f t="shared" si="29"/>
        <v>20.700000000000003</v>
      </c>
      <c r="J379" s="189">
        <f t="shared" si="30"/>
        <v>49.140049140049136</v>
      </c>
    </row>
    <row r="380" spans="1:10">
      <c r="A380" s="109" t="s">
        <v>97</v>
      </c>
      <c r="B380" s="113" t="s">
        <v>272</v>
      </c>
      <c r="C380" s="110" t="s">
        <v>65</v>
      </c>
      <c r="D380" s="110" t="s">
        <v>62</v>
      </c>
      <c r="E380" s="110" t="s">
        <v>554</v>
      </c>
      <c r="F380" s="110" t="s">
        <v>98</v>
      </c>
      <c r="G380" s="187">
        <f>'МП пр.5'!G398</f>
        <v>40.700000000000003</v>
      </c>
      <c r="H380" s="187">
        <f>'МП пр.5'!H398</f>
        <v>20</v>
      </c>
      <c r="I380" s="187">
        <f t="shared" si="29"/>
        <v>20.700000000000003</v>
      </c>
      <c r="J380" s="189">
        <f t="shared" si="30"/>
        <v>49.140049140049136</v>
      </c>
    </row>
    <row r="381" spans="1:10" ht="63.75">
      <c r="A381" s="16" t="str">
        <f>'МП пр.5'!A403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81" s="113" t="s">
        <v>272</v>
      </c>
      <c r="C381" s="110" t="s">
        <v>65</v>
      </c>
      <c r="D381" s="110" t="s">
        <v>62</v>
      </c>
      <c r="E381" s="20" t="s">
        <v>565</v>
      </c>
      <c r="F381" s="110"/>
      <c r="G381" s="187">
        <f>G382</f>
        <v>10</v>
      </c>
      <c r="H381" s="187">
        <f>H382</f>
        <v>10</v>
      </c>
      <c r="I381" s="187">
        <f t="shared" si="29"/>
        <v>0</v>
      </c>
      <c r="J381" s="189">
        <f t="shared" si="30"/>
        <v>100</v>
      </c>
    </row>
    <row r="382" spans="1:10" ht="25.5">
      <c r="A382" s="109" t="s">
        <v>93</v>
      </c>
      <c r="B382" s="113" t="s">
        <v>272</v>
      </c>
      <c r="C382" s="110" t="s">
        <v>65</v>
      </c>
      <c r="D382" s="110" t="s">
        <v>62</v>
      </c>
      <c r="E382" s="20" t="s">
        <v>565</v>
      </c>
      <c r="F382" s="110" t="s">
        <v>94</v>
      </c>
      <c r="G382" s="187">
        <f>G383</f>
        <v>10</v>
      </c>
      <c r="H382" s="187">
        <f>H383</f>
        <v>10</v>
      </c>
      <c r="I382" s="187">
        <f t="shared" si="29"/>
        <v>0</v>
      </c>
      <c r="J382" s="189">
        <f t="shared" si="30"/>
        <v>100</v>
      </c>
    </row>
    <row r="383" spans="1:10">
      <c r="A383" s="109" t="s">
        <v>97</v>
      </c>
      <c r="B383" s="113" t="s">
        <v>272</v>
      </c>
      <c r="C383" s="110" t="s">
        <v>65</v>
      </c>
      <c r="D383" s="110" t="s">
        <v>62</v>
      </c>
      <c r="E383" s="20" t="s">
        <v>565</v>
      </c>
      <c r="F383" s="110" t="s">
        <v>98</v>
      </c>
      <c r="G383" s="187">
        <f>'МП пр.5'!G408</f>
        <v>10</v>
      </c>
      <c r="H383" s="187">
        <f>'МП пр.5'!H408</f>
        <v>10</v>
      </c>
      <c r="I383" s="187">
        <f t="shared" si="29"/>
        <v>0</v>
      </c>
      <c r="J383" s="189">
        <f t="shared" si="30"/>
        <v>100</v>
      </c>
    </row>
    <row r="384" spans="1:10" ht="51">
      <c r="A384" s="1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4" s="19" t="s">
        <v>272</v>
      </c>
      <c r="C384" s="20" t="s">
        <v>65</v>
      </c>
      <c r="D384" s="20" t="s">
        <v>62</v>
      </c>
      <c r="E384" s="97" t="str">
        <f>'МП пр.5'!B419</f>
        <v>7Р 0 02 74060</v>
      </c>
      <c r="F384" s="97"/>
      <c r="G384" s="187">
        <f>G385</f>
        <v>257.79999999999995</v>
      </c>
      <c r="H384" s="187">
        <f>H385</f>
        <v>255.4</v>
      </c>
      <c r="I384" s="187">
        <f t="shared" si="29"/>
        <v>2.3999999999999488</v>
      </c>
      <c r="J384" s="189">
        <f t="shared" si="30"/>
        <v>99.069045771916237</v>
      </c>
    </row>
    <row r="385" spans="1:10" ht="25.5">
      <c r="A385" s="16" t="s">
        <v>93</v>
      </c>
      <c r="B385" s="19" t="s">
        <v>272</v>
      </c>
      <c r="C385" s="20" t="s">
        <v>65</v>
      </c>
      <c r="D385" s="20" t="s">
        <v>62</v>
      </c>
      <c r="E385" s="97" t="s">
        <v>337</v>
      </c>
      <c r="F385" s="97" t="s">
        <v>94</v>
      </c>
      <c r="G385" s="187">
        <f>G386</f>
        <v>257.79999999999995</v>
      </c>
      <c r="H385" s="187">
        <f>H386</f>
        <v>255.4</v>
      </c>
      <c r="I385" s="187">
        <f t="shared" si="29"/>
        <v>2.3999999999999488</v>
      </c>
      <c r="J385" s="189">
        <f t="shared" si="30"/>
        <v>99.069045771916237</v>
      </c>
    </row>
    <row r="386" spans="1:10">
      <c r="A386" s="16" t="s">
        <v>97</v>
      </c>
      <c r="B386" s="19" t="s">
        <v>272</v>
      </c>
      <c r="C386" s="20" t="s">
        <v>65</v>
      </c>
      <c r="D386" s="20" t="s">
        <v>62</v>
      </c>
      <c r="E386" s="97" t="s">
        <v>337</v>
      </c>
      <c r="F386" s="97" t="s">
        <v>98</v>
      </c>
      <c r="G386" s="187">
        <f>'МП пр.5'!G424</f>
        <v>257.79999999999995</v>
      </c>
      <c r="H386" s="187">
        <f>'МП пр.5'!H424</f>
        <v>255.4</v>
      </c>
      <c r="I386" s="187">
        <f t="shared" si="29"/>
        <v>2.3999999999999488</v>
      </c>
      <c r="J386" s="189">
        <f t="shared" si="30"/>
        <v>99.069045771916237</v>
      </c>
    </row>
    <row r="387" spans="1:10" ht="51">
      <c r="A387" s="1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7" s="19" t="s">
        <v>272</v>
      </c>
      <c r="C387" s="20" t="s">
        <v>65</v>
      </c>
      <c r="D387" s="20" t="s">
        <v>62</v>
      </c>
      <c r="E387" s="97" t="str">
        <f>'МП пр.5'!B434</f>
        <v>7Р 0 02 74070</v>
      </c>
      <c r="F387" s="97"/>
      <c r="G387" s="187">
        <f>G388</f>
        <v>1006</v>
      </c>
      <c r="H387" s="187">
        <f>H388</f>
        <v>1000.9000000000001</v>
      </c>
      <c r="I387" s="187">
        <f t="shared" si="29"/>
        <v>5.0999999999999091</v>
      </c>
      <c r="J387" s="189">
        <f t="shared" si="30"/>
        <v>99.493041749502993</v>
      </c>
    </row>
    <row r="388" spans="1:10" ht="25.5">
      <c r="A388" s="16" t="s">
        <v>93</v>
      </c>
      <c r="B388" s="19" t="s">
        <v>272</v>
      </c>
      <c r="C388" s="20" t="s">
        <v>65</v>
      </c>
      <c r="D388" s="20" t="s">
        <v>62</v>
      </c>
      <c r="E388" s="97" t="s">
        <v>338</v>
      </c>
      <c r="F388" s="97" t="s">
        <v>94</v>
      </c>
      <c r="G388" s="187">
        <f>G389</f>
        <v>1006</v>
      </c>
      <c r="H388" s="187">
        <f>H389</f>
        <v>1000.9000000000001</v>
      </c>
      <c r="I388" s="187">
        <f t="shared" si="29"/>
        <v>5.0999999999999091</v>
      </c>
      <c r="J388" s="189">
        <f t="shared" si="30"/>
        <v>99.493041749502993</v>
      </c>
    </row>
    <row r="389" spans="1:10">
      <c r="A389" s="16" t="s">
        <v>97</v>
      </c>
      <c r="B389" s="19" t="s">
        <v>272</v>
      </c>
      <c r="C389" s="20" t="s">
        <v>65</v>
      </c>
      <c r="D389" s="20" t="s">
        <v>62</v>
      </c>
      <c r="E389" s="97" t="s">
        <v>338</v>
      </c>
      <c r="F389" s="97" t="s">
        <v>98</v>
      </c>
      <c r="G389" s="187">
        <f>'МП пр.5'!G439</f>
        <v>1006</v>
      </c>
      <c r="H389" s="187">
        <f>'МП пр.5'!H439</f>
        <v>1000.9000000000001</v>
      </c>
      <c r="I389" s="187">
        <f t="shared" si="29"/>
        <v>5.0999999999999091</v>
      </c>
      <c r="J389" s="189">
        <f t="shared" si="30"/>
        <v>99.493041749502993</v>
      </c>
    </row>
    <row r="390" spans="1:10" ht="51">
      <c r="A390" s="16" t="str">
        <f>'МП пр.5'!A449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90" s="19" t="s">
        <v>272</v>
      </c>
      <c r="C390" s="20" t="s">
        <v>65</v>
      </c>
      <c r="D390" s="20" t="s">
        <v>62</v>
      </c>
      <c r="E390" s="97" t="str">
        <f>'МП пр.5'!B449</f>
        <v>7Р 0 02 74120</v>
      </c>
      <c r="F390" s="97"/>
      <c r="G390" s="187">
        <f>G391</f>
        <v>58976.9</v>
      </c>
      <c r="H390" s="187">
        <f>H391</f>
        <v>58975.199999999997</v>
      </c>
      <c r="I390" s="187">
        <f t="shared" si="29"/>
        <v>1.7000000000043656</v>
      </c>
      <c r="J390" s="189">
        <f t="shared" si="30"/>
        <v>99.997117515501827</v>
      </c>
    </row>
    <row r="391" spans="1:10" ht="25.5">
      <c r="A391" s="16" t="s">
        <v>93</v>
      </c>
      <c r="B391" s="19" t="s">
        <v>272</v>
      </c>
      <c r="C391" s="20" t="s">
        <v>65</v>
      </c>
      <c r="D391" s="20" t="s">
        <v>62</v>
      </c>
      <c r="E391" s="97" t="s">
        <v>339</v>
      </c>
      <c r="F391" s="97" t="s">
        <v>94</v>
      </c>
      <c r="G391" s="187">
        <f>G392</f>
        <v>58976.9</v>
      </c>
      <c r="H391" s="187">
        <f>H392</f>
        <v>58975.199999999997</v>
      </c>
      <c r="I391" s="187">
        <f t="shared" si="29"/>
        <v>1.7000000000043656</v>
      </c>
      <c r="J391" s="189">
        <f t="shared" si="30"/>
        <v>99.997117515501827</v>
      </c>
    </row>
    <row r="392" spans="1:10">
      <c r="A392" s="16" t="s">
        <v>97</v>
      </c>
      <c r="B392" s="19" t="s">
        <v>272</v>
      </c>
      <c r="C392" s="20" t="s">
        <v>65</v>
      </c>
      <c r="D392" s="20" t="s">
        <v>62</v>
      </c>
      <c r="E392" s="97" t="s">
        <v>339</v>
      </c>
      <c r="F392" s="97" t="s">
        <v>98</v>
      </c>
      <c r="G392" s="187">
        <f>'МП пр.5'!G454</f>
        <v>58976.9</v>
      </c>
      <c r="H392" s="187">
        <f>'МП пр.5'!H454</f>
        <v>58975.199999999997</v>
      </c>
      <c r="I392" s="187">
        <f t="shared" si="29"/>
        <v>1.7000000000043656</v>
      </c>
      <c r="J392" s="189">
        <f t="shared" si="30"/>
        <v>99.997117515501827</v>
      </c>
    </row>
    <row r="393" spans="1:10" ht="51">
      <c r="A393" s="1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3" s="19" t="s">
        <v>272</v>
      </c>
      <c r="C393" s="20" t="s">
        <v>65</v>
      </c>
      <c r="D393" s="20" t="s">
        <v>62</v>
      </c>
      <c r="E393" s="97" t="str">
        <f>'МП пр.5'!B461</f>
        <v>7Р 0 02 75010</v>
      </c>
      <c r="F393" s="97"/>
      <c r="G393" s="187">
        <f>G394</f>
        <v>2216.6</v>
      </c>
      <c r="H393" s="187">
        <f>H394</f>
        <v>2216.6</v>
      </c>
      <c r="I393" s="187">
        <f t="shared" si="29"/>
        <v>0</v>
      </c>
      <c r="J393" s="189">
        <f t="shared" si="30"/>
        <v>100</v>
      </c>
    </row>
    <row r="394" spans="1:10" ht="25.5">
      <c r="A394" s="16" t="s">
        <v>93</v>
      </c>
      <c r="B394" s="19" t="s">
        <v>272</v>
      </c>
      <c r="C394" s="20" t="s">
        <v>65</v>
      </c>
      <c r="D394" s="20" t="s">
        <v>62</v>
      </c>
      <c r="E394" s="97" t="s">
        <v>340</v>
      </c>
      <c r="F394" s="97" t="s">
        <v>94</v>
      </c>
      <c r="G394" s="187">
        <f>G395</f>
        <v>2216.6</v>
      </c>
      <c r="H394" s="187">
        <f>H395</f>
        <v>2216.6</v>
      </c>
      <c r="I394" s="187">
        <f t="shared" si="29"/>
        <v>0</v>
      </c>
      <c r="J394" s="189">
        <f t="shared" si="30"/>
        <v>100</v>
      </c>
    </row>
    <row r="395" spans="1:10">
      <c r="A395" s="16" t="s">
        <v>97</v>
      </c>
      <c r="B395" s="19" t="s">
        <v>272</v>
      </c>
      <c r="C395" s="20" t="s">
        <v>65</v>
      </c>
      <c r="D395" s="20" t="s">
        <v>62</v>
      </c>
      <c r="E395" s="97" t="s">
        <v>340</v>
      </c>
      <c r="F395" s="97" t="s">
        <v>98</v>
      </c>
      <c r="G395" s="187">
        <f>'МП пр.5'!G466</f>
        <v>2216.6</v>
      </c>
      <c r="H395" s="187">
        <f>'МП пр.5'!H466</f>
        <v>2216.6</v>
      </c>
      <c r="I395" s="187">
        <f t="shared" si="29"/>
        <v>0</v>
      </c>
      <c r="J395" s="189">
        <f t="shared" si="30"/>
        <v>100</v>
      </c>
    </row>
    <row r="396" spans="1:10" ht="38.25">
      <c r="A396" s="28" t="str">
        <f>'МП пр.5'!A590</f>
        <v>Муниципальная  программа  "Здоровье обучающихся и воспитанников в Сусуманском городском округе  на 2018- 2022 годы"</v>
      </c>
      <c r="B396" s="19" t="s">
        <v>272</v>
      </c>
      <c r="C396" s="20" t="s">
        <v>65</v>
      </c>
      <c r="D396" s="20" t="s">
        <v>62</v>
      </c>
      <c r="E396" s="102" t="str">
        <f>'МП пр.5'!B590</f>
        <v xml:space="preserve">7Ю 0 00 00000 </v>
      </c>
      <c r="F396" s="97"/>
      <c r="G396" s="187">
        <f t="shared" ref="G396:H399" si="34">G397</f>
        <v>75.400000000000006</v>
      </c>
      <c r="H396" s="187">
        <f t="shared" si="34"/>
        <v>75.3</v>
      </c>
      <c r="I396" s="187">
        <f t="shared" si="29"/>
        <v>0.10000000000000853</v>
      </c>
      <c r="J396" s="189">
        <f t="shared" si="30"/>
        <v>99.867374005305038</v>
      </c>
    </row>
    <row r="397" spans="1:10" ht="38.25">
      <c r="A397" s="28" t="str">
        <f>'МП пр.5'!A591</f>
        <v>Основное мероприятие "Совершенствование системы укрепления здоровья учащихся и воспитанников образовательных учреждений"</v>
      </c>
      <c r="B397" s="19" t="s">
        <v>272</v>
      </c>
      <c r="C397" s="20" t="s">
        <v>65</v>
      </c>
      <c r="D397" s="20" t="s">
        <v>62</v>
      </c>
      <c r="E397" s="102" t="str">
        <f>'МП пр.5'!B591</f>
        <v xml:space="preserve">7Ю 0 01 00000 </v>
      </c>
      <c r="F397" s="97"/>
      <c r="G397" s="187">
        <f t="shared" si="34"/>
        <v>75.400000000000006</v>
      </c>
      <c r="H397" s="187">
        <f t="shared" si="34"/>
        <v>75.3</v>
      </c>
      <c r="I397" s="187">
        <f t="shared" si="29"/>
        <v>0.10000000000000853</v>
      </c>
      <c r="J397" s="189">
        <f t="shared" si="30"/>
        <v>99.867374005305038</v>
      </c>
    </row>
    <row r="398" spans="1:10" ht="25.5">
      <c r="A398" s="28" t="str">
        <f>'МП пр.5'!A592</f>
        <v>Укрепление материально- технической базы медицинских кабинетов</v>
      </c>
      <c r="B398" s="19" t="s">
        <v>272</v>
      </c>
      <c r="C398" s="20" t="s">
        <v>65</v>
      </c>
      <c r="D398" s="20" t="s">
        <v>62</v>
      </c>
      <c r="E398" s="102" t="str">
        <f>'МП пр.5'!B592</f>
        <v xml:space="preserve">7Ю 0 01 92520 </v>
      </c>
      <c r="F398" s="97"/>
      <c r="G398" s="187">
        <f t="shared" si="34"/>
        <v>75.400000000000006</v>
      </c>
      <c r="H398" s="187">
        <f t="shared" si="34"/>
        <v>75.3</v>
      </c>
      <c r="I398" s="187">
        <f t="shared" si="29"/>
        <v>0.10000000000000853</v>
      </c>
      <c r="J398" s="189">
        <f t="shared" si="30"/>
        <v>99.867374005305038</v>
      </c>
    </row>
    <row r="399" spans="1:10" ht="25.5">
      <c r="A399" s="16" t="s">
        <v>93</v>
      </c>
      <c r="B399" s="19" t="s">
        <v>272</v>
      </c>
      <c r="C399" s="20" t="s">
        <v>65</v>
      </c>
      <c r="D399" s="20" t="s">
        <v>62</v>
      </c>
      <c r="E399" s="102" t="s">
        <v>295</v>
      </c>
      <c r="F399" s="97" t="s">
        <v>94</v>
      </c>
      <c r="G399" s="187">
        <f t="shared" si="34"/>
        <v>75.400000000000006</v>
      </c>
      <c r="H399" s="187">
        <f t="shared" si="34"/>
        <v>75.3</v>
      </c>
      <c r="I399" s="187">
        <f t="shared" ref="I399:I462" si="35">G399-H399</f>
        <v>0.10000000000000853</v>
      </c>
      <c r="J399" s="189">
        <f t="shared" ref="J399:J462" si="36">H399/G399*100</f>
        <v>99.867374005305038</v>
      </c>
    </row>
    <row r="400" spans="1:10">
      <c r="A400" s="16" t="s">
        <v>97</v>
      </c>
      <c r="B400" s="19" t="s">
        <v>272</v>
      </c>
      <c r="C400" s="20" t="s">
        <v>65</v>
      </c>
      <c r="D400" s="20" t="s">
        <v>62</v>
      </c>
      <c r="E400" s="102" t="s">
        <v>295</v>
      </c>
      <c r="F400" s="97" t="s">
        <v>98</v>
      </c>
      <c r="G400" s="187">
        <f>'МП пр.5'!G597</f>
        <v>75.400000000000006</v>
      </c>
      <c r="H400" s="187">
        <f>'МП пр.5'!H597</f>
        <v>75.3</v>
      </c>
      <c r="I400" s="187">
        <f t="shared" si="35"/>
        <v>0.10000000000000853</v>
      </c>
      <c r="J400" s="189">
        <f t="shared" si="36"/>
        <v>99.867374005305038</v>
      </c>
    </row>
    <row r="401" spans="1:15">
      <c r="A401" s="16" t="s">
        <v>55</v>
      </c>
      <c r="B401" s="19" t="s">
        <v>272</v>
      </c>
      <c r="C401" s="20" t="s">
        <v>65</v>
      </c>
      <c r="D401" s="20" t="s">
        <v>62</v>
      </c>
      <c r="E401" s="97" t="s">
        <v>455</v>
      </c>
      <c r="F401" s="97"/>
      <c r="G401" s="187">
        <f>G402+G405+G408</f>
        <v>13912.5</v>
      </c>
      <c r="H401" s="187">
        <f>H402+H405+H408</f>
        <v>13866.4</v>
      </c>
      <c r="I401" s="187">
        <f t="shared" si="35"/>
        <v>46.100000000000364</v>
      </c>
      <c r="J401" s="189">
        <f t="shared" si="36"/>
        <v>99.668643306379153</v>
      </c>
    </row>
    <row r="402" spans="1:15" ht="25.5">
      <c r="A402" s="16" t="s">
        <v>183</v>
      </c>
      <c r="B402" s="19" t="s">
        <v>272</v>
      </c>
      <c r="C402" s="20" t="s">
        <v>65</v>
      </c>
      <c r="D402" s="20" t="s">
        <v>62</v>
      </c>
      <c r="E402" s="97" t="s">
        <v>456</v>
      </c>
      <c r="F402" s="97"/>
      <c r="G402" s="187">
        <f>G403</f>
        <v>12281.5</v>
      </c>
      <c r="H402" s="187">
        <f>H403</f>
        <v>12246.6</v>
      </c>
      <c r="I402" s="187">
        <f t="shared" si="35"/>
        <v>34.899999999999636</v>
      </c>
      <c r="J402" s="189">
        <f t="shared" si="36"/>
        <v>99.715832756585115</v>
      </c>
    </row>
    <row r="403" spans="1:15" ht="25.5">
      <c r="A403" s="16" t="s">
        <v>93</v>
      </c>
      <c r="B403" s="19" t="s">
        <v>272</v>
      </c>
      <c r="C403" s="20" t="s">
        <v>65</v>
      </c>
      <c r="D403" s="20" t="s">
        <v>62</v>
      </c>
      <c r="E403" s="97" t="s">
        <v>456</v>
      </c>
      <c r="F403" s="97" t="s">
        <v>94</v>
      </c>
      <c r="G403" s="187">
        <f>G404</f>
        <v>12281.5</v>
      </c>
      <c r="H403" s="187">
        <f>H404</f>
        <v>12246.6</v>
      </c>
      <c r="I403" s="187">
        <f t="shared" si="35"/>
        <v>34.899999999999636</v>
      </c>
      <c r="J403" s="189">
        <f t="shared" si="36"/>
        <v>99.715832756585115</v>
      </c>
    </row>
    <row r="404" spans="1:15">
      <c r="A404" s="16" t="s">
        <v>97</v>
      </c>
      <c r="B404" s="19" t="s">
        <v>272</v>
      </c>
      <c r="C404" s="20" t="s">
        <v>65</v>
      </c>
      <c r="D404" s="20" t="s">
        <v>62</v>
      </c>
      <c r="E404" s="97" t="s">
        <v>456</v>
      </c>
      <c r="F404" s="97" t="s">
        <v>98</v>
      </c>
      <c r="G404" s="187">
        <f>12571-289.5</f>
        <v>12281.5</v>
      </c>
      <c r="H404" s="187">
        <f>11496.6+750</f>
        <v>12246.6</v>
      </c>
      <c r="I404" s="187">
        <f t="shared" si="35"/>
        <v>34.899999999999636</v>
      </c>
      <c r="J404" s="189">
        <f t="shared" si="36"/>
        <v>99.715832756585115</v>
      </c>
    </row>
    <row r="405" spans="1:15" ht="63.75">
      <c r="A405" s="16" t="s">
        <v>202</v>
      </c>
      <c r="B405" s="19" t="s">
        <v>272</v>
      </c>
      <c r="C405" s="20" t="s">
        <v>65</v>
      </c>
      <c r="D405" s="20" t="s">
        <v>62</v>
      </c>
      <c r="E405" s="97" t="s">
        <v>457</v>
      </c>
      <c r="F405" s="97"/>
      <c r="G405" s="187">
        <f>G406</f>
        <v>1485</v>
      </c>
      <c r="H405" s="187">
        <f>H406</f>
        <v>1474.3</v>
      </c>
      <c r="I405" s="187">
        <f t="shared" si="35"/>
        <v>10.700000000000045</v>
      </c>
      <c r="J405" s="189">
        <f t="shared" si="36"/>
        <v>99.279461279461273</v>
      </c>
    </row>
    <row r="406" spans="1:15" ht="25.5">
      <c r="A406" s="16" t="s">
        <v>93</v>
      </c>
      <c r="B406" s="19" t="s">
        <v>272</v>
      </c>
      <c r="C406" s="20" t="s">
        <v>65</v>
      </c>
      <c r="D406" s="20" t="s">
        <v>62</v>
      </c>
      <c r="E406" s="97" t="s">
        <v>457</v>
      </c>
      <c r="F406" s="97" t="s">
        <v>94</v>
      </c>
      <c r="G406" s="187">
        <f>G407</f>
        <v>1485</v>
      </c>
      <c r="H406" s="187">
        <f>H407</f>
        <v>1474.3</v>
      </c>
      <c r="I406" s="187">
        <f t="shared" si="35"/>
        <v>10.700000000000045</v>
      </c>
      <c r="J406" s="189">
        <f t="shared" si="36"/>
        <v>99.279461279461273</v>
      </c>
    </row>
    <row r="407" spans="1:15">
      <c r="A407" s="16" t="s">
        <v>97</v>
      </c>
      <c r="B407" s="19" t="s">
        <v>272</v>
      </c>
      <c r="C407" s="20" t="s">
        <v>65</v>
      </c>
      <c r="D407" s="20" t="s">
        <v>62</v>
      </c>
      <c r="E407" s="97" t="s">
        <v>457</v>
      </c>
      <c r="F407" s="97" t="s">
        <v>98</v>
      </c>
      <c r="G407" s="187">
        <f>1500-15</f>
        <v>1485</v>
      </c>
      <c r="H407" s="187">
        <v>1474.3</v>
      </c>
      <c r="I407" s="187">
        <f t="shared" si="35"/>
        <v>10.700000000000045</v>
      </c>
      <c r="J407" s="189">
        <f t="shared" si="36"/>
        <v>99.279461279461273</v>
      </c>
    </row>
    <row r="408" spans="1:15">
      <c r="A408" s="16" t="s">
        <v>174</v>
      </c>
      <c r="B408" s="19" t="s">
        <v>272</v>
      </c>
      <c r="C408" s="20" t="s">
        <v>65</v>
      </c>
      <c r="D408" s="20" t="s">
        <v>62</v>
      </c>
      <c r="E408" s="97" t="s">
        <v>458</v>
      </c>
      <c r="F408" s="97"/>
      <c r="G408" s="187">
        <f>G409</f>
        <v>146</v>
      </c>
      <c r="H408" s="187">
        <f>H409</f>
        <v>145.5</v>
      </c>
      <c r="I408" s="187">
        <f t="shared" si="35"/>
        <v>0.5</v>
      </c>
      <c r="J408" s="189">
        <f t="shared" si="36"/>
        <v>99.657534246575338</v>
      </c>
    </row>
    <row r="409" spans="1:15" ht="25.5">
      <c r="A409" s="16" t="s">
        <v>93</v>
      </c>
      <c r="B409" s="19" t="s">
        <v>272</v>
      </c>
      <c r="C409" s="20" t="s">
        <v>65</v>
      </c>
      <c r="D409" s="20" t="s">
        <v>62</v>
      </c>
      <c r="E409" s="97" t="s">
        <v>458</v>
      </c>
      <c r="F409" s="97" t="s">
        <v>94</v>
      </c>
      <c r="G409" s="187">
        <f>G410</f>
        <v>146</v>
      </c>
      <c r="H409" s="187">
        <f>H410</f>
        <v>145.5</v>
      </c>
      <c r="I409" s="187">
        <f t="shared" si="35"/>
        <v>0.5</v>
      </c>
      <c r="J409" s="189">
        <f t="shared" si="36"/>
        <v>99.657534246575338</v>
      </c>
    </row>
    <row r="410" spans="1:15">
      <c r="A410" s="16" t="s">
        <v>97</v>
      </c>
      <c r="B410" s="19" t="s">
        <v>272</v>
      </c>
      <c r="C410" s="20" t="s">
        <v>65</v>
      </c>
      <c r="D410" s="20" t="s">
        <v>62</v>
      </c>
      <c r="E410" s="97" t="s">
        <v>458</v>
      </c>
      <c r="F410" s="97" t="s">
        <v>98</v>
      </c>
      <c r="G410" s="187">
        <f>70+76</f>
        <v>146</v>
      </c>
      <c r="H410" s="187">
        <v>145.5</v>
      </c>
      <c r="I410" s="187">
        <f t="shared" si="35"/>
        <v>0.5</v>
      </c>
      <c r="J410" s="189">
        <f t="shared" si="36"/>
        <v>99.657534246575338</v>
      </c>
    </row>
    <row r="411" spans="1:15">
      <c r="A411" s="15" t="s">
        <v>9</v>
      </c>
      <c r="B411" s="35" t="s">
        <v>272</v>
      </c>
      <c r="C411" s="31" t="s">
        <v>65</v>
      </c>
      <c r="D411" s="31" t="s">
        <v>63</v>
      </c>
      <c r="E411" s="100"/>
      <c r="F411" s="100"/>
      <c r="G411" s="185">
        <f>G413+G421+G441+G468+G488</f>
        <v>197101.59999999998</v>
      </c>
      <c r="H411" s="185">
        <f>H413+H421+H441+H468+H488</f>
        <v>196512.80000000002</v>
      </c>
      <c r="I411" s="187">
        <f t="shared" si="35"/>
        <v>588.79999999995925</v>
      </c>
      <c r="J411" s="189">
        <f t="shared" si="36"/>
        <v>99.701270816675276</v>
      </c>
      <c r="L411" s="119">
        <f>G443+G449+G452+G458+G461+G473+G479</f>
        <v>150855.5</v>
      </c>
      <c r="M411" s="119">
        <f>H443+H449+H452+H458+H461+H473+H479</f>
        <v>150721.40000000002</v>
      </c>
      <c r="N411" s="119">
        <f>L411-M411</f>
        <v>134.09999999997672</v>
      </c>
      <c r="O411" s="236">
        <f>M411/L411*100</f>
        <v>99.911106986487084</v>
      </c>
    </row>
    <row r="412" spans="1:15">
      <c r="A412" s="16" t="s">
        <v>430</v>
      </c>
      <c r="B412" s="19" t="s">
        <v>272</v>
      </c>
      <c r="C412" s="20" t="s">
        <v>65</v>
      </c>
      <c r="D412" s="20" t="s">
        <v>63</v>
      </c>
      <c r="E412" s="102" t="s">
        <v>431</v>
      </c>
      <c r="F412" s="97"/>
      <c r="G412" s="187">
        <f>G413+G421+G441+G468</f>
        <v>158064.4</v>
      </c>
      <c r="H412" s="187">
        <f>H413+H421+H441+H468</f>
        <v>157800.20000000001</v>
      </c>
      <c r="I412" s="187">
        <f t="shared" si="35"/>
        <v>264.19999999998254</v>
      </c>
      <c r="J412" s="189">
        <f t="shared" si="36"/>
        <v>99.832852938422576</v>
      </c>
      <c r="L412" s="119"/>
      <c r="M412" s="119"/>
      <c r="N412" s="119"/>
      <c r="O412" s="236"/>
    </row>
    <row r="413" spans="1:15" ht="38.25">
      <c r="A413" s="28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413" s="19" t="s">
        <v>272</v>
      </c>
      <c r="C413" s="20" t="s">
        <v>65</v>
      </c>
      <c r="D413" s="19" t="s">
        <v>63</v>
      </c>
      <c r="E413" s="102" t="str">
        <f>'МП пр.5'!B17</f>
        <v xml:space="preserve">7Б 0 00 00000 </v>
      </c>
      <c r="F413" s="97"/>
      <c r="G413" s="187">
        <f>G414</f>
        <v>987.4</v>
      </c>
      <c r="H413" s="187">
        <f>H414</f>
        <v>949.4</v>
      </c>
      <c r="I413" s="187">
        <f t="shared" si="35"/>
        <v>38</v>
      </c>
      <c r="J413" s="189">
        <f t="shared" si="36"/>
        <v>96.151509013570987</v>
      </c>
    </row>
    <row r="414" spans="1:15" ht="38.25">
      <c r="A414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4" s="19" t="s">
        <v>272</v>
      </c>
      <c r="C414" s="20" t="s">
        <v>65</v>
      </c>
      <c r="D414" s="20" t="s">
        <v>63</v>
      </c>
      <c r="E414" s="102" t="str">
        <f>'МП пр.5'!B18</f>
        <v xml:space="preserve">7Б 0 01 00000 </v>
      </c>
      <c r="F414" s="97"/>
      <c r="G414" s="187">
        <f>G415+G418</f>
        <v>987.4</v>
      </c>
      <c r="H414" s="187">
        <f>H415+H418</f>
        <v>949.4</v>
      </c>
      <c r="I414" s="187">
        <f t="shared" si="35"/>
        <v>38</v>
      </c>
      <c r="J414" s="189">
        <f t="shared" si="36"/>
        <v>96.151509013570987</v>
      </c>
    </row>
    <row r="415" spans="1:15" ht="25.5">
      <c r="A415" s="28" t="str">
        <f>'МП пр.5'!A19</f>
        <v>Обслуживание систем видеонаблюдения, охранной сигнализации</v>
      </c>
      <c r="B415" s="19" t="s">
        <v>272</v>
      </c>
      <c r="C415" s="20" t="s">
        <v>65</v>
      </c>
      <c r="D415" s="20" t="s">
        <v>63</v>
      </c>
      <c r="E415" s="102" t="str">
        <f>'МП пр.5'!B19</f>
        <v xml:space="preserve">7Б 0 01 91600 </v>
      </c>
      <c r="F415" s="97"/>
      <c r="G415" s="187">
        <f>G416</f>
        <v>626.4</v>
      </c>
      <c r="H415" s="187">
        <f>H416</f>
        <v>588.5</v>
      </c>
      <c r="I415" s="187">
        <f t="shared" si="35"/>
        <v>37.899999999999977</v>
      </c>
      <c r="J415" s="189">
        <f t="shared" si="36"/>
        <v>93.949553001277138</v>
      </c>
    </row>
    <row r="416" spans="1:15" ht="25.5">
      <c r="A416" s="16" t="s">
        <v>93</v>
      </c>
      <c r="B416" s="19" t="s">
        <v>272</v>
      </c>
      <c r="C416" s="20" t="s">
        <v>65</v>
      </c>
      <c r="D416" s="20" t="s">
        <v>63</v>
      </c>
      <c r="E416" s="102" t="s">
        <v>361</v>
      </c>
      <c r="F416" s="97" t="s">
        <v>94</v>
      </c>
      <c r="G416" s="187">
        <f>G417</f>
        <v>626.4</v>
      </c>
      <c r="H416" s="187">
        <f>H417</f>
        <v>588.5</v>
      </c>
      <c r="I416" s="187">
        <f t="shared" si="35"/>
        <v>37.899999999999977</v>
      </c>
      <c r="J416" s="189">
        <f t="shared" si="36"/>
        <v>93.949553001277138</v>
      </c>
    </row>
    <row r="417" spans="1:10">
      <c r="A417" s="16" t="s">
        <v>97</v>
      </c>
      <c r="B417" s="19" t="s">
        <v>272</v>
      </c>
      <c r="C417" s="20" t="s">
        <v>65</v>
      </c>
      <c r="D417" s="20" t="s">
        <v>63</v>
      </c>
      <c r="E417" s="102" t="s">
        <v>361</v>
      </c>
      <c r="F417" s="97" t="s">
        <v>98</v>
      </c>
      <c r="G417" s="187">
        <f>'МП пр.5'!G28</f>
        <v>626.4</v>
      </c>
      <c r="H417" s="187">
        <f>'МП пр.5'!H28</f>
        <v>588.5</v>
      </c>
      <c r="I417" s="187">
        <f t="shared" si="35"/>
        <v>37.899999999999977</v>
      </c>
      <c r="J417" s="189">
        <f t="shared" si="36"/>
        <v>93.949553001277138</v>
      </c>
    </row>
    <row r="418" spans="1:10">
      <c r="A418" s="16" t="str">
        <f>'МП пр.5'!A39</f>
        <v>Установка пропускных систем</v>
      </c>
      <c r="B418" s="19" t="s">
        <v>272</v>
      </c>
      <c r="C418" s="20" t="s">
        <v>65</v>
      </c>
      <c r="D418" s="20" t="s">
        <v>63</v>
      </c>
      <c r="E418" s="102" t="str">
        <f>'МП пр.5'!B39</f>
        <v>7Б 0 01 93300</v>
      </c>
      <c r="F418" s="97"/>
      <c r="G418" s="187">
        <f>G419</f>
        <v>361</v>
      </c>
      <c r="H418" s="187">
        <f>H419</f>
        <v>360.9</v>
      </c>
      <c r="I418" s="187">
        <f t="shared" si="35"/>
        <v>0.10000000000002274</v>
      </c>
      <c r="J418" s="189">
        <f t="shared" si="36"/>
        <v>99.97229916897507</v>
      </c>
    </row>
    <row r="419" spans="1:10" ht="25.5">
      <c r="A419" s="16" t="s">
        <v>93</v>
      </c>
      <c r="B419" s="19" t="s">
        <v>272</v>
      </c>
      <c r="C419" s="20" t="s">
        <v>65</v>
      </c>
      <c r="D419" s="20" t="s">
        <v>63</v>
      </c>
      <c r="E419" s="102" t="str">
        <f>'МП пр.5'!B40</f>
        <v>7Б 0 01 93300</v>
      </c>
      <c r="F419" s="97" t="s">
        <v>94</v>
      </c>
      <c r="G419" s="187">
        <f>G420</f>
        <v>361</v>
      </c>
      <c r="H419" s="187">
        <f>H420</f>
        <v>360.9</v>
      </c>
      <c r="I419" s="187">
        <f t="shared" si="35"/>
        <v>0.10000000000002274</v>
      </c>
      <c r="J419" s="189">
        <f t="shared" si="36"/>
        <v>99.97229916897507</v>
      </c>
    </row>
    <row r="420" spans="1:10">
      <c r="A420" s="16" t="s">
        <v>97</v>
      </c>
      <c r="B420" s="19" t="s">
        <v>272</v>
      </c>
      <c r="C420" s="20" t="s">
        <v>65</v>
      </c>
      <c r="D420" s="20" t="s">
        <v>63</v>
      </c>
      <c r="E420" s="102" t="str">
        <f>'МП пр.5'!B41</f>
        <v>7Б 0 01 93300</v>
      </c>
      <c r="F420" s="97" t="s">
        <v>98</v>
      </c>
      <c r="G420" s="187">
        <f>'МП пр.5'!G44</f>
        <v>361</v>
      </c>
      <c r="H420" s="187">
        <f>'МП пр.5'!H44</f>
        <v>360.9</v>
      </c>
      <c r="I420" s="187">
        <f t="shared" si="35"/>
        <v>0.10000000000002274</v>
      </c>
      <c r="J420" s="189">
        <f t="shared" si="36"/>
        <v>99.97229916897507</v>
      </c>
    </row>
    <row r="421" spans="1:10" ht="25.5">
      <c r="A421" s="28" t="str">
        <f>'МП пр.5'!A257</f>
        <v>Муниципальная программа  "Пожарная безопасность в Сусуманском городском округе на 2018- 2022 годы"</v>
      </c>
      <c r="B421" s="19" t="s">
        <v>272</v>
      </c>
      <c r="C421" s="20" t="s">
        <v>65</v>
      </c>
      <c r="D421" s="20" t="s">
        <v>63</v>
      </c>
      <c r="E421" s="102" t="str">
        <f>'МП пр.5'!B257</f>
        <v xml:space="preserve">7П 0 00 00000 </v>
      </c>
      <c r="F421" s="97"/>
      <c r="G421" s="187">
        <f>G422</f>
        <v>1353</v>
      </c>
      <c r="H421" s="187">
        <f>H422</f>
        <v>1337.3</v>
      </c>
      <c r="I421" s="187">
        <f t="shared" si="35"/>
        <v>15.700000000000045</v>
      </c>
      <c r="J421" s="189">
        <f t="shared" si="36"/>
        <v>98.839615668883965</v>
      </c>
    </row>
    <row r="422" spans="1:10" ht="38.25">
      <c r="A422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2" s="19" t="s">
        <v>272</v>
      </c>
      <c r="C422" s="20" t="s">
        <v>65</v>
      </c>
      <c r="D422" s="20" t="s">
        <v>63</v>
      </c>
      <c r="E422" s="102" t="str">
        <f>'МП пр.5'!B258</f>
        <v xml:space="preserve">7П 0 01 00000 </v>
      </c>
      <c r="F422" s="97"/>
      <c r="G422" s="187">
        <f>G423+G426+G429+G432+G435+G438</f>
        <v>1353</v>
      </c>
      <c r="H422" s="187">
        <f>H423+H426+H429+H432+H435+H438</f>
        <v>1337.3</v>
      </c>
      <c r="I422" s="187">
        <f t="shared" si="35"/>
        <v>15.700000000000045</v>
      </c>
      <c r="J422" s="189">
        <f t="shared" si="36"/>
        <v>98.839615668883965</v>
      </c>
    </row>
    <row r="423" spans="1:10" ht="38.25">
      <c r="A423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3" s="19" t="s">
        <v>272</v>
      </c>
      <c r="C423" s="20" t="s">
        <v>65</v>
      </c>
      <c r="D423" s="20" t="s">
        <v>63</v>
      </c>
      <c r="E423" s="102" t="str">
        <f>'МП пр.5'!B259</f>
        <v xml:space="preserve">7П 0 01 94100 </v>
      </c>
      <c r="F423" s="97"/>
      <c r="G423" s="187">
        <f>G424</f>
        <v>808.8</v>
      </c>
      <c r="H423" s="187">
        <f>H424</f>
        <v>808.6</v>
      </c>
      <c r="I423" s="187">
        <f t="shared" si="35"/>
        <v>0.19999999999993179</v>
      </c>
      <c r="J423" s="189">
        <f t="shared" si="36"/>
        <v>99.975272007912963</v>
      </c>
    </row>
    <row r="424" spans="1:10" ht="25.5">
      <c r="A424" s="16" t="s">
        <v>93</v>
      </c>
      <c r="B424" s="19" t="s">
        <v>272</v>
      </c>
      <c r="C424" s="20" t="s">
        <v>65</v>
      </c>
      <c r="D424" s="20" t="s">
        <v>63</v>
      </c>
      <c r="E424" s="102" t="s">
        <v>234</v>
      </c>
      <c r="F424" s="97" t="s">
        <v>94</v>
      </c>
      <c r="G424" s="187">
        <f>G425</f>
        <v>808.8</v>
      </c>
      <c r="H424" s="187">
        <f>H425</f>
        <v>808.6</v>
      </c>
      <c r="I424" s="187">
        <f t="shared" si="35"/>
        <v>0.19999999999993179</v>
      </c>
      <c r="J424" s="189">
        <f t="shared" si="36"/>
        <v>99.975272007912963</v>
      </c>
    </row>
    <row r="425" spans="1:10">
      <c r="A425" s="16" t="s">
        <v>97</v>
      </c>
      <c r="B425" s="19" t="s">
        <v>272</v>
      </c>
      <c r="C425" s="20" t="s">
        <v>65</v>
      </c>
      <c r="D425" s="20" t="s">
        <v>63</v>
      </c>
      <c r="E425" s="102" t="s">
        <v>234</v>
      </c>
      <c r="F425" s="97" t="s">
        <v>98</v>
      </c>
      <c r="G425" s="187">
        <f>'МП пр.5'!G268</f>
        <v>808.8</v>
      </c>
      <c r="H425" s="187">
        <f>'МП пр.5'!H268</f>
        <v>808.6</v>
      </c>
      <c r="I425" s="187">
        <f t="shared" si="35"/>
        <v>0.19999999999993179</v>
      </c>
      <c r="J425" s="189">
        <f t="shared" si="36"/>
        <v>99.975272007912963</v>
      </c>
    </row>
    <row r="426" spans="1:10">
      <c r="A426" s="28" t="str">
        <f>'МП пр.5'!A284</f>
        <v>Обработка сгораемых конструкций огнезащитными составами</v>
      </c>
      <c r="B426" s="19" t="s">
        <v>272</v>
      </c>
      <c r="C426" s="20" t="s">
        <v>65</v>
      </c>
      <c r="D426" s="20" t="s">
        <v>63</v>
      </c>
      <c r="E426" s="102" t="str">
        <f>'МП пр.5'!B284</f>
        <v xml:space="preserve">7П 0 01 94200 </v>
      </c>
      <c r="F426" s="97"/>
      <c r="G426" s="187">
        <f>G427</f>
        <v>124.2</v>
      </c>
      <c r="H426" s="187">
        <f>H427</f>
        <v>124.2</v>
      </c>
      <c r="I426" s="187">
        <f t="shared" si="35"/>
        <v>0</v>
      </c>
      <c r="J426" s="189">
        <f t="shared" si="36"/>
        <v>100</v>
      </c>
    </row>
    <row r="427" spans="1:10" ht="25.5">
      <c r="A427" s="16" t="s">
        <v>93</v>
      </c>
      <c r="B427" s="19" t="s">
        <v>272</v>
      </c>
      <c r="C427" s="20" t="s">
        <v>65</v>
      </c>
      <c r="D427" s="20" t="s">
        <v>63</v>
      </c>
      <c r="E427" s="102" t="s">
        <v>238</v>
      </c>
      <c r="F427" s="97" t="s">
        <v>94</v>
      </c>
      <c r="G427" s="187">
        <f>G428</f>
        <v>124.2</v>
      </c>
      <c r="H427" s="187">
        <f>H428</f>
        <v>124.2</v>
      </c>
      <c r="I427" s="187">
        <f t="shared" si="35"/>
        <v>0</v>
      </c>
      <c r="J427" s="189">
        <f t="shared" si="36"/>
        <v>100</v>
      </c>
    </row>
    <row r="428" spans="1:10">
      <c r="A428" s="16" t="s">
        <v>97</v>
      </c>
      <c r="B428" s="19" t="s">
        <v>272</v>
      </c>
      <c r="C428" s="20" t="s">
        <v>65</v>
      </c>
      <c r="D428" s="20" t="s">
        <v>63</v>
      </c>
      <c r="E428" s="102" t="s">
        <v>238</v>
      </c>
      <c r="F428" s="97" t="s">
        <v>98</v>
      </c>
      <c r="G428" s="187">
        <f>'МП пр.5'!G289</f>
        <v>124.2</v>
      </c>
      <c r="H428" s="187">
        <f>'МП пр.5'!H289</f>
        <v>124.2</v>
      </c>
      <c r="I428" s="187">
        <f t="shared" si="35"/>
        <v>0</v>
      </c>
      <c r="J428" s="189">
        <f t="shared" si="36"/>
        <v>100</v>
      </c>
    </row>
    <row r="429" spans="1:10" ht="25.5">
      <c r="A429" s="28" t="str">
        <f>'МП пр.5'!A319</f>
        <v>Проведение замеров сопротивления изоляции электросетей и электрооборудования</v>
      </c>
      <c r="B429" s="19" t="s">
        <v>272</v>
      </c>
      <c r="C429" s="20" t="s">
        <v>65</v>
      </c>
      <c r="D429" s="20" t="s">
        <v>63</v>
      </c>
      <c r="E429" s="102" t="str">
        <f>'МП пр.5'!B319</f>
        <v xml:space="preserve">7П 0 01 94400 </v>
      </c>
      <c r="F429" s="97"/>
      <c r="G429" s="187">
        <f>G430</f>
        <v>180.2</v>
      </c>
      <c r="H429" s="187">
        <f>H430</f>
        <v>180.2</v>
      </c>
      <c r="I429" s="187">
        <f t="shared" si="35"/>
        <v>0</v>
      </c>
      <c r="J429" s="189">
        <f t="shared" si="36"/>
        <v>100</v>
      </c>
    </row>
    <row r="430" spans="1:10" ht="25.5">
      <c r="A430" s="16" t="s">
        <v>93</v>
      </c>
      <c r="B430" s="19" t="s">
        <v>272</v>
      </c>
      <c r="C430" s="20" t="s">
        <v>65</v>
      </c>
      <c r="D430" s="20" t="s">
        <v>63</v>
      </c>
      <c r="E430" s="102" t="s">
        <v>235</v>
      </c>
      <c r="F430" s="97" t="s">
        <v>94</v>
      </c>
      <c r="G430" s="187">
        <f>G431</f>
        <v>180.2</v>
      </c>
      <c r="H430" s="187">
        <f>H431</f>
        <v>180.2</v>
      </c>
      <c r="I430" s="187">
        <f t="shared" si="35"/>
        <v>0</v>
      </c>
      <c r="J430" s="189">
        <f t="shared" si="36"/>
        <v>100</v>
      </c>
    </row>
    <row r="431" spans="1:10">
      <c r="A431" s="16" t="s">
        <v>97</v>
      </c>
      <c r="B431" s="19" t="s">
        <v>272</v>
      </c>
      <c r="C431" s="20" t="s">
        <v>65</v>
      </c>
      <c r="D431" s="20" t="s">
        <v>63</v>
      </c>
      <c r="E431" s="102" t="s">
        <v>235</v>
      </c>
      <c r="F431" s="97" t="s">
        <v>98</v>
      </c>
      <c r="G431" s="187">
        <f>'МП пр.5'!G328</f>
        <v>180.2</v>
      </c>
      <c r="H431" s="187">
        <f>'МП пр.5'!H328</f>
        <v>180.2</v>
      </c>
      <c r="I431" s="187">
        <f t="shared" si="35"/>
        <v>0</v>
      </c>
      <c r="J431" s="189">
        <f t="shared" si="36"/>
        <v>100</v>
      </c>
    </row>
    <row r="432" spans="1:10" ht="38.25">
      <c r="A432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432" s="19" t="s">
        <v>272</v>
      </c>
      <c r="C432" s="20" t="s">
        <v>65</v>
      </c>
      <c r="D432" s="20" t="s">
        <v>63</v>
      </c>
      <c r="E432" s="102" t="str">
        <f>'МП пр.5'!B338</f>
        <v xml:space="preserve">7П 0 01 94500 </v>
      </c>
      <c r="F432" s="97"/>
      <c r="G432" s="187">
        <f>G433</f>
        <v>65.5</v>
      </c>
      <c r="H432" s="187">
        <f>H433</f>
        <v>50.6</v>
      </c>
      <c r="I432" s="187">
        <f t="shared" si="35"/>
        <v>14.899999999999999</v>
      </c>
      <c r="J432" s="189">
        <f t="shared" si="36"/>
        <v>77.251908396946561</v>
      </c>
    </row>
    <row r="433" spans="1:10" ht="25.5">
      <c r="A433" s="16" t="s">
        <v>93</v>
      </c>
      <c r="B433" s="19" t="s">
        <v>272</v>
      </c>
      <c r="C433" s="20" t="s">
        <v>65</v>
      </c>
      <c r="D433" s="20" t="s">
        <v>63</v>
      </c>
      <c r="E433" s="102" t="s">
        <v>236</v>
      </c>
      <c r="F433" s="97" t="s">
        <v>94</v>
      </c>
      <c r="G433" s="187">
        <f>G434</f>
        <v>65.5</v>
      </c>
      <c r="H433" s="187">
        <f>H434</f>
        <v>50.6</v>
      </c>
      <c r="I433" s="187">
        <f t="shared" si="35"/>
        <v>14.899999999999999</v>
      </c>
      <c r="J433" s="189">
        <f t="shared" si="36"/>
        <v>77.251908396946561</v>
      </c>
    </row>
    <row r="434" spans="1:10">
      <c r="A434" s="16" t="s">
        <v>97</v>
      </c>
      <c r="B434" s="19" t="s">
        <v>272</v>
      </c>
      <c r="C434" s="20" t="s">
        <v>65</v>
      </c>
      <c r="D434" s="20" t="s">
        <v>63</v>
      </c>
      <c r="E434" s="102" t="s">
        <v>236</v>
      </c>
      <c r="F434" s="97" t="s">
        <v>98</v>
      </c>
      <c r="G434" s="187">
        <f>'МП пр.5'!G347</f>
        <v>65.5</v>
      </c>
      <c r="H434" s="187">
        <f>'МП пр.5'!H347</f>
        <v>50.6</v>
      </c>
      <c r="I434" s="187">
        <f t="shared" si="35"/>
        <v>14.899999999999999</v>
      </c>
      <c r="J434" s="189">
        <f t="shared" si="36"/>
        <v>77.251908396946561</v>
      </c>
    </row>
    <row r="435" spans="1:10">
      <c r="A435" s="16" t="s">
        <v>296</v>
      </c>
      <c r="B435" s="19" t="s">
        <v>272</v>
      </c>
      <c r="C435" s="20" t="s">
        <v>65</v>
      </c>
      <c r="D435" s="20" t="s">
        <v>63</v>
      </c>
      <c r="E435" s="102" t="s">
        <v>297</v>
      </c>
      <c r="F435" s="97"/>
      <c r="G435" s="187">
        <f>G436</f>
        <v>9</v>
      </c>
      <c r="H435" s="187">
        <f>H436</f>
        <v>9</v>
      </c>
      <c r="I435" s="187">
        <f t="shared" si="35"/>
        <v>0</v>
      </c>
      <c r="J435" s="189">
        <f t="shared" si="36"/>
        <v>100</v>
      </c>
    </row>
    <row r="436" spans="1:10" ht="25.5">
      <c r="A436" s="16" t="s">
        <v>93</v>
      </c>
      <c r="B436" s="19" t="s">
        <v>272</v>
      </c>
      <c r="C436" s="20" t="s">
        <v>65</v>
      </c>
      <c r="D436" s="20" t="s">
        <v>63</v>
      </c>
      <c r="E436" s="102" t="s">
        <v>297</v>
      </c>
      <c r="F436" s="97" t="s">
        <v>94</v>
      </c>
      <c r="G436" s="187">
        <f>G437</f>
        <v>9</v>
      </c>
      <c r="H436" s="187">
        <f>H437</f>
        <v>9</v>
      </c>
      <c r="I436" s="187">
        <f t="shared" si="35"/>
        <v>0</v>
      </c>
      <c r="J436" s="189">
        <f t="shared" si="36"/>
        <v>100</v>
      </c>
    </row>
    <row r="437" spans="1:10">
      <c r="A437" s="16" t="s">
        <v>97</v>
      </c>
      <c r="B437" s="19" t="s">
        <v>272</v>
      </c>
      <c r="C437" s="20" t="s">
        <v>65</v>
      </c>
      <c r="D437" s="20" t="s">
        <v>63</v>
      </c>
      <c r="E437" s="102" t="s">
        <v>297</v>
      </c>
      <c r="F437" s="97" t="s">
        <v>98</v>
      </c>
      <c r="G437" s="187">
        <f>'МП пр.5'!G371</f>
        <v>9</v>
      </c>
      <c r="H437" s="187">
        <f>'МП пр.5'!H371</f>
        <v>9</v>
      </c>
      <c r="I437" s="187">
        <f t="shared" si="35"/>
        <v>0</v>
      </c>
      <c r="J437" s="189">
        <f t="shared" si="36"/>
        <v>100</v>
      </c>
    </row>
    <row r="438" spans="1:10">
      <c r="A438" s="28" t="str">
        <f>'МП пр.5'!A372</f>
        <v>Установка противопожарных дверей на запасных выходах</v>
      </c>
      <c r="B438" s="19" t="s">
        <v>272</v>
      </c>
      <c r="C438" s="20" t="s">
        <v>65</v>
      </c>
      <c r="D438" s="20" t="s">
        <v>63</v>
      </c>
      <c r="E438" s="102" t="str">
        <f>'МП пр.5'!B372</f>
        <v>7П 0 01 94600</v>
      </c>
      <c r="F438" s="97"/>
      <c r="G438" s="187">
        <f>G439</f>
        <v>165.3</v>
      </c>
      <c r="H438" s="187">
        <f>H439</f>
        <v>164.7</v>
      </c>
      <c r="I438" s="187">
        <f t="shared" si="35"/>
        <v>0.60000000000002274</v>
      </c>
      <c r="J438" s="189">
        <f t="shared" si="36"/>
        <v>99.637023593466409</v>
      </c>
    </row>
    <row r="439" spans="1:10" ht="25.5">
      <c r="A439" s="16" t="s">
        <v>93</v>
      </c>
      <c r="B439" s="19" t="s">
        <v>272</v>
      </c>
      <c r="C439" s="20" t="s">
        <v>65</v>
      </c>
      <c r="D439" s="20" t="s">
        <v>63</v>
      </c>
      <c r="E439" s="102" t="s">
        <v>371</v>
      </c>
      <c r="F439" s="97" t="s">
        <v>94</v>
      </c>
      <c r="G439" s="187">
        <f>G440</f>
        <v>165.3</v>
      </c>
      <c r="H439" s="187">
        <f>H440</f>
        <v>164.7</v>
      </c>
      <c r="I439" s="187">
        <f t="shared" si="35"/>
        <v>0.60000000000002274</v>
      </c>
      <c r="J439" s="189">
        <f t="shared" si="36"/>
        <v>99.637023593466409</v>
      </c>
    </row>
    <row r="440" spans="1:10">
      <c r="A440" s="16" t="s">
        <v>97</v>
      </c>
      <c r="B440" s="19" t="s">
        <v>272</v>
      </c>
      <c r="C440" s="20" t="s">
        <v>65</v>
      </c>
      <c r="D440" s="20" t="s">
        <v>63</v>
      </c>
      <c r="E440" s="102" t="s">
        <v>371</v>
      </c>
      <c r="F440" s="97" t="s">
        <v>98</v>
      </c>
      <c r="G440" s="187">
        <f>'МП пр.5'!G377</f>
        <v>165.3</v>
      </c>
      <c r="H440" s="187">
        <f>'МП пр.5'!H377</f>
        <v>164.7</v>
      </c>
      <c r="I440" s="187">
        <f t="shared" si="35"/>
        <v>0.60000000000002274</v>
      </c>
      <c r="J440" s="189">
        <f t="shared" si="36"/>
        <v>99.637023593466409</v>
      </c>
    </row>
    <row r="441" spans="1:10" ht="25.5">
      <c r="A441" s="28" t="str">
        <f>'МП пр.5'!A384</f>
        <v>Муниципальная  программа  "Развитие образования в Сусуманском городском округе  на 2018- 2022 годы"</v>
      </c>
      <c r="B441" s="19" t="s">
        <v>272</v>
      </c>
      <c r="C441" s="20" t="s">
        <v>65</v>
      </c>
      <c r="D441" s="20" t="s">
        <v>63</v>
      </c>
      <c r="E441" s="97" t="str">
        <f>'МП пр.5'!B384</f>
        <v xml:space="preserve">7Р 0 00 00000 </v>
      </c>
      <c r="F441" s="100"/>
      <c r="G441" s="187">
        <f>G442+G464</f>
        <v>151672</v>
      </c>
      <c r="H441" s="187">
        <f>H442+H464</f>
        <v>151493.1</v>
      </c>
      <c r="I441" s="187">
        <f t="shared" si="35"/>
        <v>178.89999999999418</v>
      </c>
      <c r="J441" s="189">
        <f t="shared" si="36"/>
        <v>99.882048103802944</v>
      </c>
    </row>
    <row r="442" spans="1:10" ht="25.5">
      <c r="A442" s="16" t="str">
        <f>'МП пр.5'!A392</f>
        <v>Основное мероприятие "Управление развитием отрасли образования"</v>
      </c>
      <c r="B442" s="19" t="s">
        <v>272</v>
      </c>
      <c r="C442" s="20" t="s">
        <v>65</v>
      </c>
      <c r="D442" s="20" t="s">
        <v>63</v>
      </c>
      <c r="E442" s="97" t="str">
        <f>'МП пр.5'!B392</f>
        <v>7Р 0 02 00000</v>
      </c>
      <c r="F442" s="100"/>
      <c r="G442" s="187">
        <f>G449+G452+G455+G458+G461+G443+G446</f>
        <v>151397</v>
      </c>
      <c r="H442" s="187">
        <f>H449+H452+H455+H458+H461+H443+H446</f>
        <v>151220.6</v>
      </c>
      <c r="I442" s="187">
        <f t="shared" si="35"/>
        <v>176.39999999999418</v>
      </c>
      <c r="J442" s="189">
        <f t="shared" si="36"/>
        <v>99.883485141713507</v>
      </c>
    </row>
    <row r="443" spans="1:10" ht="89.25">
      <c r="A443" s="293" t="s">
        <v>553</v>
      </c>
      <c r="B443" s="113" t="s">
        <v>272</v>
      </c>
      <c r="C443" s="110" t="s">
        <v>65</v>
      </c>
      <c r="D443" s="110" t="s">
        <v>63</v>
      </c>
      <c r="E443" s="110" t="s">
        <v>554</v>
      </c>
      <c r="F443" s="110"/>
      <c r="G443" s="187">
        <f>G444</f>
        <v>2.2999999999999972</v>
      </c>
      <c r="H443" s="187">
        <f>H444</f>
        <v>0</v>
      </c>
      <c r="I443" s="187">
        <f t="shared" si="35"/>
        <v>2.2999999999999972</v>
      </c>
      <c r="J443" s="189">
        <f t="shared" si="36"/>
        <v>0</v>
      </c>
    </row>
    <row r="444" spans="1:10" ht="25.5">
      <c r="A444" s="109" t="s">
        <v>93</v>
      </c>
      <c r="B444" s="113" t="s">
        <v>272</v>
      </c>
      <c r="C444" s="110" t="s">
        <v>65</v>
      </c>
      <c r="D444" s="110" t="s">
        <v>63</v>
      </c>
      <c r="E444" s="110" t="s">
        <v>554</v>
      </c>
      <c r="F444" s="110" t="s">
        <v>94</v>
      </c>
      <c r="G444" s="187">
        <f>G445</f>
        <v>2.2999999999999972</v>
      </c>
      <c r="H444" s="187">
        <f>H445</f>
        <v>0</v>
      </c>
      <c r="I444" s="187">
        <f t="shared" si="35"/>
        <v>2.2999999999999972</v>
      </c>
      <c r="J444" s="189">
        <f t="shared" si="36"/>
        <v>0</v>
      </c>
    </row>
    <row r="445" spans="1:10">
      <c r="A445" s="109" t="s">
        <v>97</v>
      </c>
      <c r="B445" s="113" t="s">
        <v>272</v>
      </c>
      <c r="C445" s="110" t="s">
        <v>65</v>
      </c>
      <c r="D445" s="110" t="s">
        <v>63</v>
      </c>
      <c r="E445" s="110" t="s">
        <v>554</v>
      </c>
      <c r="F445" s="110" t="s">
        <v>98</v>
      </c>
      <c r="G445" s="187">
        <f>'МП пр.5'!G402</f>
        <v>2.2999999999999972</v>
      </c>
      <c r="H445" s="187">
        <f>'МП пр.5'!H402</f>
        <v>0</v>
      </c>
      <c r="I445" s="187">
        <f t="shared" si="35"/>
        <v>2.2999999999999972</v>
      </c>
      <c r="J445" s="189">
        <f t="shared" si="36"/>
        <v>0</v>
      </c>
    </row>
    <row r="446" spans="1:10" ht="63.75">
      <c r="A446" s="16" t="str">
        <f>'МП пр.5'!A403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6" s="113" t="s">
        <v>272</v>
      </c>
      <c r="C446" s="110" t="s">
        <v>65</v>
      </c>
      <c r="D446" s="110" t="s">
        <v>63</v>
      </c>
      <c r="E446" s="20" t="s">
        <v>565</v>
      </c>
      <c r="F446" s="110"/>
      <c r="G446" s="187">
        <f>G447</f>
        <v>10</v>
      </c>
      <c r="H446" s="187">
        <f>H447</f>
        <v>10</v>
      </c>
      <c r="I446" s="187">
        <f t="shared" si="35"/>
        <v>0</v>
      </c>
      <c r="J446" s="189">
        <f t="shared" si="36"/>
        <v>100</v>
      </c>
    </row>
    <row r="447" spans="1:10" ht="25.5">
      <c r="A447" s="16" t="s">
        <v>93</v>
      </c>
      <c r="B447" s="113" t="s">
        <v>272</v>
      </c>
      <c r="C447" s="110" t="s">
        <v>65</v>
      </c>
      <c r="D447" s="110" t="s">
        <v>63</v>
      </c>
      <c r="E447" s="20" t="s">
        <v>565</v>
      </c>
      <c r="F447" s="110" t="s">
        <v>94</v>
      </c>
      <c r="G447" s="187">
        <f>G448</f>
        <v>10</v>
      </c>
      <c r="H447" s="187">
        <f>H448</f>
        <v>10</v>
      </c>
      <c r="I447" s="187">
        <f t="shared" si="35"/>
        <v>0</v>
      </c>
      <c r="J447" s="189">
        <f t="shared" si="36"/>
        <v>100</v>
      </c>
    </row>
    <row r="448" spans="1:10">
      <c r="A448" s="109" t="s">
        <v>97</v>
      </c>
      <c r="B448" s="113" t="s">
        <v>272</v>
      </c>
      <c r="C448" s="110" t="s">
        <v>65</v>
      </c>
      <c r="D448" s="110" t="s">
        <v>63</v>
      </c>
      <c r="E448" s="20" t="s">
        <v>565</v>
      </c>
      <c r="F448" s="110" t="s">
        <v>98</v>
      </c>
      <c r="G448" s="187">
        <f>'МП пр.5'!G412</f>
        <v>10</v>
      </c>
      <c r="H448" s="187">
        <f>'МП пр.5'!H412</f>
        <v>10</v>
      </c>
      <c r="I448" s="187">
        <f t="shared" si="35"/>
        <v>0</v>
      </c>
      <c r="J448" s="189">
        <f t="shared" si="36"/>
        <v>100</v>
      </c>
    </row>
    <row r="449" spans="1:10" ht="38.25">
      <c r="A449" s="16" t="str">
        <f>'МП пр.5'!A413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9" s="19" t="s">
        <v>272</v>
      </c>
      <c r="C449" s="20" t="s">
        <v>65</v>
      </c>
      <c r="D449" s="20" t="s">
        <v>63</v>
      </c>
      <c r="E449" s="97" t="str">
        <f>'МП пр.5'!B413</f>
        <v>7Р 0 02 74050</v>
      </c>
      <c r="F449" s="97"/>
      <c r="G449" s="187">
        <f>G450</f>
        <v>141591.6</v>
      </c>
      <c r="H449" s="187">
        <f>H450</f>
        <v>141590.70000000001</v>
      </c>
      <c r="I449" s="187">
        <f t="shared" si="35"/>
        <v>0.89999999999417923</v>
      </c>
      <c r="J449" s="189">
        <f t="shared" si="36"/>
        <v>99.999364369072737</v>
      </c>
    </row>
    <row r="450" spans="1:10" ht="25.5">
      <c r="A450" s="16" t="s">
        <v>93</v>
      </c>
      <c r="B450" s="19" t="s">
        <v>272</v>
      </c>
      <c r="C450" s="20" t="s">
        <v>65</v>
      </c>
      <c r="D450" s="20" t="s">
        <v>63</v>
      </c>
      <c r="E450" s="97" t="s">
        <v>341</v>
      </c>
      <c r="F450" s="97" t="s">
        <v>94</v>
      </c>
      <c r="G450" s="187">
        <f>G451</f>
        <v>141591.6</v>
      </c>
      <c r="H450" s="187">
        <f>H451</f>
        <v>141590.70000000001</v>
      </c>
      <c r="I450" s="187">
        <f t="shared" si="35"/>
        <v>0.89999999999417923</v>
      </c>
      <c r="J450" s="189">
        <f t="shared" si="36"/>
        <v>99.999364369072737</v>
      </c>
    </row>
    <row r="451" spans="1:10">
      <c r="A451" s="16" t="s">
        <v>97</v>
      </c>
      <c r="B451" s="19" t="s">
        <v>272</v>
      </c>
      <c r="C451" s="20" t="s">
        <v>65</v>
      </c>
      <c r="D451" s="20" t="s">
        <v>63</v>
      </c>
      <c r="E451" s="97" t="s">
        <v>341</v>
      </c>
      <c r="F451" s="97" t="s">
        <v>98</v>
      </c>
      <c r="G451" s="187">
        <f>'МП пр.5'!G418</f>
        <v>141591.6</v>
      </c>
      <c r="H451" s="187">
        <f>'МП пр.5'!H418</f>
        <v>141590.70000000001</v>
      </c>
      <c r="I451" s="187">
        <f t="shared" si="35"/>
        <v>0.89999999999417923</v>
      </c>
      <c r="J451" s="189">
        <f t="shared" si="36"/>
        <v>99.999364369072737</v>
      </c>
    </row>
    <row r="452" spans="1:10" ht="51">
      <c r="A452" s="1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2" s="19" t="s">
        <v>272</v>
      </c>
      <c r="C452" s="20" t="s">
        <v>65</v>
      </c>
      <c r="D452" s="20" t="s">
        <v>63</v>
      </c>
      <c r="E452" s="97" t="str">
        <f>'МП пр.5'!B419</f>
        <v>7Р 0 02 74060</v>
      </c>
      <c r="F452" s="97"/>
      <c r="G452" s="187">
        <f>G453</f>
        <v>994.9</v>
      </c>
      <c r="H452" s="187">
        <f>H453</f>
        <v>912.40000000000009</v>
      </c>
      <c r="I452" s="187">
        <f t="shared" si="35"/>
        <v>82.499999999999886</v>
      </c>
      <c r="J452" s="189">
        <f t="shared" si="36"/>
        <v>91.70770931751936</v>
      </c>
    </row>
    <row r="453" spans="1:10" ht="25.5">
      <c r="A453" s="16" t="s">
        <v>93</v>
      </c>
      <c r="B453" s="19" t="s">
        <v>272</v>
      </c>
      <c r="C453" s="20" t="s">
        <v>65</v>
      </c>
      <c r="D453" s="20" t="s">
        <v>63</v>
      </c>
      <c r="E453" s="97" t="s">
        <v>337</v>
      </c>
      <c r="F453" s="97" t="s">
        <v>94</v>
      </c>
      <c r="G453" s="187">
        <f>G454</f>
        <v>994.9</v>
      </c>
      <c r="H453" s="187">
        <f>H454</f>
        <v>912.40000000000009</v>
      </c>
      <c r="I453" s="187">
        <f t="shared" si="35"/>
        <v>82.499999999999886</v>
      </c>
      <c r="J453" s="189">
        <f t="shared" si="36"/>
        <v>91.70770931751936</v>
      </c>
    </row>
    <row r="454" spans="1:10">
      <c r="A454" s="16" t="s">
        <v>97</v>
      </c>
      <c r="B454" s="19" t="s">
        <v>272</v>
      </c>
      <c r="C454" s="20" t="s">
        <v>65</v>
      </c>
      <c r="D454" s="20" t="s">
        <v>63</v>
      </c>
      <c r="E454" s="97" t="s">
        <v>337</v>
      </c>
      <c r="F454" s="97" t="s">
        <v>98</v>
      </c>
      <c r="G454" s="187">
        <f>'МП пр.5'!G428</f>
        <v>994.9</v>
      </c>
      <c r="H454" s="187">
        <f>'МП пр.5'!H428</f>
        <v>912.40000000000009</v>
      </c>
      <c r="I454" s="187">
        <f t="shared" si="35"/>
        <v>82.499999999999886</v>
      </c>
      <c r="J454" s="189">
        <f t="shared" si="36"/>
        <v>91.70770931751936</v>
      </c>
    </row>
    <row r="455" spans="1:10" ht="51">
      <c r="A455" s="1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19" t="s">
        <v>272</v>
      </c>
      <c r="C455" s="20" t="s">
        <v>65</v>
      </c>
      <c r="D455" s="20" t="s">
        <v>63</v>
      </c>
      <c r="E455" s="97" t="str">
        <f>'МП пр.5'!B434</f>
        <v>7Р 0 02 74070</v>
      </c>
      <c r="F455" s="97"/>
      <c r="G455" s="187">
        <f>G456</f>
        <v>2588.5</v>
      </c>
      <c r="H455" s="187">
        <f>H456</f>
        <v>2515.4</v>
      </c>
      <c r="I455" s="187">
        <f t="shared" si="35"/>
        <v>73.099999999999909</v>
      </c>
      <c r="J455" s="189">
        <f t="shared" si="36"/>
        <v>97.175970639366426</v>
      </c>
    </row>
    <row r="456" spans="1:10" ht="25.5">
      <c r="A456" s="16" t="s">
        <v>93</v>
      </c>
      <c r="B456" s="19" t="s">
        <v>272</v>
      </c>
      <c r="C456" s="20" t="s">
        <v>65</v>
      </c>
      <c r="D456" s="20" t="s">
        <v>63</v>
      </c>
      <c r="E456" s="97" t="s">
        <v>338</v>
      </c>
      <c r="F456" s="97" t="s">
        <v>94</v>
      </c>
      <c r="G456" s="187">
        <f>G457</f>
        <v>2588.5</v>
      </c>
      <c r="H456" s="187">
        <f>H457</f>
        <v>2515.4</v>
      </c>
      <c r="I456" s="187">
        <f t="shared" si="35"/>
        <v>73.099999999999909</v>
      </c>
      <c r="J456" s="189">
        <f t="shared" si="36"/>
        <v>97.175970639366426</v>
      </c>
    </row>
    <row r="457" spans="1:10">
      <c r="A457" s="16" t="s">
        <v>97</v>
      </c>
      <c r="B457" s="19" t="s">
        <v>272</v>
      </c>
      <c r="C457" s="20" t="s">
        <v>65</v>
      </c>
      <c r="D457" s="20" t="s">
        <v>63</v>
      </c>
      <c r="E457" s="97" t="s">
        <v>338</v>
      </c>
      <c r="F457" s="97" t="s">
        <v>98</v>
      </c>
      <c r="G457" s="187">
        <f>'МП пр.5'!G443</f>
        <v>2588.5</v>
      </c>
      <c r="H457" s="187">
        <f>'МП пр.5'!H443</f>
        <v>2515.4</v>
      </c>
      <c r="I457" s="187">
        <f t="shared" si="35"/>
        <v>73.099999999999909</v>
      </c>
      <c r="J457" s="189">
        <f t="shared" si="36"/>
        <v>97.175970639366426</v>
      </c>
    </row>
    <row r="458" spans="1:10" ht="25.5">
      <c r="A458" s="16" t="str">
        <f>'МП пр.5'!A455</f>
        <v>Обеспечение ежемесячного денежного вознаграждения за классное руководство</v>
      </c>
      <c r="B458" s="19" t="s">
        <v>272</v>
      </c>
      <c r="C458" s="20" t="s">
        <v>65</v>
      </c>
      <c r="D458" s="20" t="s">
        <v>63</v>
      </c>
      <c r="E458" s="97" t="str">
        <f>'МП пр.5'!B455</f>
        <v>7Р 0 02 74130</v>
      </c>
      <c r="F458" s="97"/>
      <c r="G458" s="187">
        <f>G459</f>
        <v>1117.6000000000001</v>
      </c>
      <c r="H458" s="187">
        <f>H459</f>
        <v>1100</v>
      </c>
      <c r="I458" s="187">
        <f t="shared" si="35"/>
        <v>17.600000000000136</v>
      </c>
      <c r="J458" s="189">
        <f t="shared" si="36"/>
        <v>98.425196850393689</v>
      </c>
    </row>
    <row r="459" spans="1:10" ht="25.5">
      <c r="A459" s="16" t="s">
        <v>93</v>
      </c>
      <c r="B459" s="19" t="s">
        <v>272</v>
      </c>
      <c r="C459" s="20" t="s">
        <v>65</v>
      </c>
      <c r="D459" s="20" t="s">
        <v>63</v>
      </c>
      <c r="E459" s="97" t="s">
        <v>342</v>
      </c>
      <c r="F459" s="97" t="s">
        <v>94</v>
      </c>
      <c r="G459" s="187">
        <f>G460</f>
        <v>1117.6000000000001</v>
      </c>
      <c r="H459" s="187">
        <f>H460</f>
        <v>1100</v>
      </c>
      <c r="I459" s="187">
        <f t="shared" si="35"/>
        <v>17.600000000000136</v>
      </c>
      <c r="J459" s="189">
        <f t="shared" si="36"/>
        <v>98.425196850393689</v>
      </c>
    </row>
    <row r="460" spans="1:10">
      <c r="A460" s="16" t="s">
        <v>97</v>
      </c>
      <c r="B460" s="19" t="s">
        <v>272</v>
      </c>
      <c r="C460" s="20" t="s">
        <v>65</v>
      </c>
      <c r="D460" s="20" t="s">
        <v>63</v>
      </c>
      <c r="E460" s="97" t="s">
        <v>342</v>
      </c>
      <c r="F460" s="97" t="s">
        <v>98</v>
      </c>
      <c r="G460" s="187">
        <f>'МП пр.5'!G460</f>
        <v>1117.6000000000001</v>
      </c>
      <c r="H460" s="187">
        <f>'МП пр.5'!H460</f>
        <v>1100</v>
      </c>
      <c r="I460" s="187">
        <f t="shared" si="35"/>
        <v>17.600000000000136</v>
      </c>
      <c r="J460" s="189">
        <f t="shared" si="36"/>
        <v>98.425196850393689</v>
      </c>
    </row>
    <row r="461" spans="1:10" ht="51">
      <c r="A461" s="1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19" t="s">
        <v>272</v>
      </c>
      <c r="C461" s="20" t="s">
        <v>65</v>
      </c>
      <c r="D461" s="20" t="s">
        <v>63</v>
      </c>
      <c r="E461" s="97" t="str">
        <f>'МП пр.5'!B461</f>
        <v>7Р 0 02 75010</v>
      </c>
      <c r="F461" s="97"/>
      <c r="G461" s="187">
        <f>G462</f>
        <v>5092.0999999999995</v>
      </c>
      <c r="H461" s="187">
        <f>H462</f>
        <v>5092.1000000000004</v>
      </c>
      <c r="I461" s="187">
        <f t="shared" si="35"/>
        <v>0</v>
      </c>
      <c r="J461" s="189">
        <f t="shared" si="36"/>
        <v>100.00000000000003</v>
      </c>
    </row>
    <row r="462" spans="1:10" ht="25.5">
      <c r="A462" s="16" t="s">
        <v>93</v>
      </c>
      <c r="B462" s="19" t="s">
        <v>272</v>
      </c>
      <c r="C462" s="20" t="s">
        <v>65</v>
      </c>
      <c r="D462" s="20" t="s">
        <v>63</v>
      </c>
      <c r="E462" s="97" t="s">
        <v>340</v>
      </c>
      <c r="F462" s="97" t="s">
        <v>94</v>
      </c>
      <c r="G462" s="187">
        <f>G463</f>
        <v>5092.0999999999995</v>
      </c>
      <c r="H462" s="187">
        <f>H463</f>
        <v>5092.1000000000004</v>
      </c>
      <c r="I462" s="187">
        <f t="shared" si="35"/>
        <v>0</v>
      </c>
      <c r="J462" s="189">
        <f t="shared" si="36"/>
        <v>100.00000000000003</v>
      </c>
    </row>
    <row r="463" spans="1:10">
      <c r="A463" s="16" t="s">
        <v>97</v>
      </c>
      <c r="B463" s="19" t="s">
        <v>272</v>
      </c>
      <c r="C463" s="20" t="s">
        <v>65</v>
      </c>
      <c r="D463" s="20" t="s">
        <v>63</v>
      </c>
      <c r="E463" s="97" t="s">
        <v>340</v>
      </c>
      <c r="F463" s="97" t="s">
        <v>98</v>
      </c>
      <c r="G463" s="187">
        <f>'МП пр.5'!G470</f>
        <v>5092.0999999999995</v>
      </c>
      <c r="H463" s="187">
        <f>'МП пр.5'!H470</f>
        <v>5092.1000000000004</v>
      </c>
      <c r="I463" s="187">
        <f t="shared" ref="I463:I526" si="37">G463-H463</f>
        <v>0</v>
      </c>
      <c r="J463" s="189">
        <f t="shared" ref="J463:J526" si="38">H463/G463*100</f>
        <v>100.00000000000003</v>
      </c>
    </row>
    <row r="464" spans="1:10" ht="38.25">
      <c r="A464" s="16" t="str">
        <f>'МП пр.5'!A508</f>
        <v>Основное мероприятие "Формирование доступной среды в образовательных учреждениях Сусуманского городского округа"</v>
      </c>
      <c r="B464" s="19" t="s">
        <v>272</v>
      </c>
      <c r="C464" s="20" t="s">
        <v>65</v>
      </c>
      <c r="D464" s="20" t="s">
        <v>63</v>
      </c>
      <c r="E464" s="97" t="str">
        <f>'МП пр.5'!B508</f>
        <v>7Р 0 05 00000</v>
      </c>
      <c r="F464" s="97"/>
      <c r="G464" s="187">
        <f t="shared" ref="G464:H466" si="39">G465</f>
        <v>275</v>
      </c>
      <c r="H464" s="187">
        <f t="shared" si="39"/>
        <v>272.5</v>
      </c>
      <c r="I464" s="187">
        <f t="shared" si="37"/>
        <v>2.5</v>
      </c>
      <c r="J464" s="189">
        <f t="shared" si="38"/>
        <v>99.090909090909093</v>
      </c>
    </row>
    <row r="465" spans="1:10" ht="25.5">
      <c r="A465" s="16" t="str">
        <f>'МП пр.5'!A509</f>
        <v xml:space="preserve">Адаптация социально- значимых объектов для инвалидов и маломобильных групп населения </v>
      </c>
      <c r="B465" s="19" t="s">
        <v>272</v>
      </c>
      <c r="C465" s="20" t="s">
        <v>65</v>
      </c>
      <c r="D465" s="20" t="s">
        <v>63</v>
      </c>
      <c r="E465" s="97" t="str">
        <f>'МП пр.5'!B509</f>
        <v>7Р 0 05 91500</v>
      </c>
      <c r="F465" s="97"/>
      <c r="G465" s="187">
        <f t="shared" si="39"/>
        <v>275</v>
      </c>
      <c r="H465" s="187">
        <f t="shared" si="39"/>
        <v>272.5</v>
      </c>
      <c r="I465" s="187">
        <f t="shared" si="37"/>
        <v>2.5</v>
      </c>
      <c r="J465" s="189">
        <f t="shared" si="38"/>
        <v>99.090909090909093</v>
      </c>
    </row>
    <row r="466" spans="1:10" ht="25.5">
      <c r="A466" s="16" t="s">
        <v>93</v>
      </c>
      <c r="B466" s="19" t="s">
        <v>272</v>
      </c>
      <c r="C466" s="20" t="s">
        <v>65</v>
      </c>
      <c r="D466" s="20" t="s">
        <v>63</v>
      </c>
      <c r="E466" s="97" t="str">
        <f>'МП пр.5'!B510</f>
        <v>7Р 0 05 91500</v>
      </c>
      <c r="F466" s="97" t="s">
        <v>94</v>
      </c>
      <c r="G466" s="187">
        <f t="shared" si="39"/>
        <v>275</v>
      </c>
      <c r="H466" s="187">
        <f t="shared" si="39"/>
        <v>272.5</v>
      </c>
      <c r="I466" s="187">
        <f t="shared" si="37"/>
        <v>2.5</v>
      </c>
      <c r="J466" s="189">
        <f t="shared" si="38"/>
        <v>99.090909090909093</v>
      </c>
    </row>
    <row r="467" spans="1:10">
      <c r="A467" s="16" t="s">
        <v>97</v>
      </c>
      <c r="B467" s="19" t="s">
        <v>272</v>
      </c>
      <c r="C467" s="20" t="s">
        <v>65</v>
      </c>
      <c r="D467" s="20" t="s">
        <v>63</v>
      </c>
      <c r="E467" s="97" t="str">
        <f>'МП пр.5'!B511</f>
        <v>7Р 0 05 91500</v>
      </c>
      <c r="F467" s="97" t="s">
        <v>98</v>
      </c>
      <c r="G467" s="187">
        <f>'МП пр.5'!G514</f>
        <v>275</v>
      </c>
      <c r="H467" s="187">
        <f>'МП пр.5'!H514</f>
        <v>272.5</v>
      </c>
      <c r="I467" s="187">
        <f t="shared" si="37"/>
        <v>2.5</v>
      </c>
      <c r="J467" s="189">
        <f t="shared" si="38"/>
        <v>99.090909090909093</v>
      </c>
    </row>
    <row r="468" spans="1:10" ht="38.25">
      <c r="A468" s="28" t="str">
        <f>'МП пр.5'!A590</f>
        <v>Муниципальная  программа  "Здоровье обучающихся и воспитанников в Сусуманском городском округе  на 2018- 2022 годы"</v>
      </c>
      <c r="B468" s="19" t="s">
        <v>272</v>
      </c>
      <c r="C468" s="19" t="s">
        <v>65</v>
      </c>
      <c r="D468" s="19" t="s">
        <v>63</v>
      </c>
      <c r="E468" s="102" t="str">
        <f>'МП пр.5'!B590</f>
        <v xml:space="preserve">7Ю 0 00 00000 </v>
      </c>
      <c r="F468" s="102"/>
      <c r="G468" s="187">
        <f>G469</f>
        <v>4052.0000000000005</v>
      </c>
      <c r="H468" s="187">
        <f>H469</f>
        <v>4020.4</v>
      </c>
      <c r="I468" s="187">
        <f t="shared" si="37"/>
        <v>31.600000000000364</v>
      </c>
      <c r="J468" s="189">
        <f t="shared" si="38"/>
        <v>99.220138203356356</v>
      </c>
    </row>
    <row r="469" spans="1:10" ht="38.25">
      <c r="A469" s="28" t="str">
        <f>'МП пр.5'!A591</f>
        <v>Основное мероприятие "Совершенствование системы укрепления здоровья учащихся и воспитанников образовательных учреждений"</v>
      </c>
      <c r="B469" s="19" t="s">
        <v>272</v>
      </c>
      <c r="C469" s="20" t="s">
        <v>65</v>
      </c>
      <c r="D469" s="20" t="s">
        <v>63</v>
      </c>
      <c r="E469" s="102" t="str">
        <f>'МП пр.5'!B591</f>
        <v xml:space="preserve">7Ю 0 01 00000 </v>
      </c>
      <c r="F469" s="97"/>
      <c r="G469" s="187">
        <f>G470+G473+G476+G479+G485+G482</f>
        <v>4052.0000000000005</v>
      </c>
      <c r="H469" s="187">
        <f>H470+H473+H476+H479+H485+H482</f>
        <v>4020.4</v>
      </c>
      <c r="I469" s="187">
        <f t="shared" si="37"/>
        <v>31.600000000000364</v>
      </c>
      <c r="J469" s="189">
        <f t="shared" si="38"/>
        <v>99.220138203356356</v>
      </c>
    </row>
    <row r="470" spans="1:10" ht="25.5">
      <c r="A470" s="28" t="str">
        <f>'МП пр.5'!A592</f>
        <v>Укрепление материально- технической базы медицинских кабинетов</v>
      </c>
      <c r="B470" s="19" t="s">
        <v>272</v>
      </c>
      <c r="C470" s="20" t="s">
        <v>65</v>
      </c>
      <c r="D470" s="20" t="s">
        <v>63</v>
      </c>
      <c r="E470" s="102" t="str">
        <f>'МП пр.5'!B592</f>
        <v xml:space="preserve">7Ю 0 01 92520 </v>
      </c>
      <c r="F470" s="97"/>
      <c r="G470" s="187">
        <f>G471</f>
        <v>113.30000000000001</v>
      </c>
      <c r="H470" s="187">
        <f>H471</f>
        <v>113</v>
      </c>
      <c r="I470" s="187">
        <f t="shared" si="37"/>
        <v>0.30000000000001137</v>
      </c>
      <c r="J470" s="189">
        <f t="shared" si="38"/>
        <v>99.735216240070599</v>
      </c>
    </row>
    <row r="471" spans="1:10" ht="25.5">
      <c r="A471" s="16" t="s">
        <v>93</v>
      </c>
      <c r="B471" s="19" t="s">
        <v>272</v>
      </c>
      <c r="C471" s="20" t="s">
        <v>65</v>
      </c>
      <c r="D471" s="20" t="s">
        <v>63</v>
      </c>
      <c r="E471" s="102" t="s">
        <v>295</v>
      </c>
      <c r="F471" s="97" t="s">
        <v>94</v>
      </c>
      <c r="G471" s="187">
        <f>G472</f>
        <v>113.30000000000001</v>
      </c>
      <c r="H471" s="187">
        <f>H472</f>
        <v>113</v>
      </c>
      <c r="I471" s="187">
        <f t="shared" si="37"/>
        <v>0.30000000000001137</v>
      </c>
      <c r="J471" s="189">
        <f t="shared" si="38"/>
        <v>99.735216240070599</v>
      </c>
    </row>
    <row r="472" spans="1:10">
      <c r="A472" s="16" t="s">
        <v>97</v>
      </c>
      <c r="B472" s="19" t="s">
        <v>272</v>
      </c>
      <c r="C472" s="20" t="s">
        <v>65</v>
      </c>
      <c r="D472" s="20" t="s">
        <v>63</v>
      </c>
      <c r="E472" s="102" t="s">
        <v>295</v>
      </c>
      <c r="F472" s="97" t="s">
        <v>98</v>
      </c>
      <c r="G472" s="187">
        <f>'МП пр.5'!G601</f>
        <v>113.30000000000001</v>
      </c>
      <c r="H472" s="187">
        <f>'МП пр.5'!H601</f>
        <v>113</v>
      </c>
      <c r="I472" s="187">
        <f t="shared" si="37"/>
        <v>0.30000000000001137</v>
      </c>
      <c r="J472" s="189">
        <f t="shared" si="38"/>
        <v>99.735216240070599</v>
      </c>
    </row>
    <row r="473" spans="1:10" ht="25.5">
      <c r="A473" s="16" t="str">
        <f>'МП пр.5'!A602</f>
        <v xml:space="preserve">Совершенствование системы укрепления здоровья учащихся в общеобразовательных учреждениях </v>
      </c>
      <c r="B473" s="19" t="s">
        <v>272</v>
      </c>
      <c r="C473" s="20" t="s">
        <v>65</v>
      </c>
      <c r="D473" s="20" t="s">
        <v>63</v>
      </c>
      <c r="E473" s="97" t="str">
        <f>'МП пр.5'!B602</f>
        <v>7Ю 0 01 73440</v>
      </c>
      <c r="F473" s="100"/>
      <c r="G473" s="187">
        <f>G474</f>
        <v>1248.2000000000003</v>
      </c>
      <c r="H473" s="187">
        <f>H474</f>
        <v>1248.2</v>
      </c>
      <c r="I473" s="187">
        <f t="shared" si="37"/>
        <v>0</v>
      </c>
      <c r="J473" s="189">
        <f t="shared" si="38"/>
        <v>99.999999999999972</v>
      </c>
    </row>
    <row r="474" spans="1:10" ht="25.5">
      <c r="A474" s="16" t="s">
        <v>93</v>
      </c>
      <c r="B474" s="19" t="s">
        <v>272</v>
      </c>
      <c r="C474" s="20" t="s">
        <v>65</v>
      </c>
      <c r="D474" s="20" t="s">
        <v>63</v>
      </c>
      <c r="E474" s="97" t="s">
        <v>298</v>
      </c>
      <c r="F474" s="97" t="s">
        <v>94</v>
      </c>
      <c r="G474" s="187">
        <f>G475</f>
        <v>1248.2000000000003</v>
      </c>
      <c r="H474" s="187">
        <f>H475</f>
        <v>1248.2</v>
      </c>
      <c r="I474" s="187">
        <f t="shared" si="37"/>
        <v>0</v>
      </c>
      <c r="J474" s="189">
        <f t="shared" si="38"/>
        <v>99.999999999999972</v>
      </c>
    </row>
    <row r="475" spans="1:10">
      <c r="A475" s="16" t="s">
        <v>97</v>
      </c>
      <c r="B475" s="19" t="s">
        <v>272</v>
      </c>
      <c r="C475" s="20" t="s">
        <v>65</v>
      </c>
      <c r="D475" s="20" t="s">
        <v>63</v>
      </c>
      <c r="E475" s="97" t="s">
        <v>298</v>
      </c>
      <c r="F475" s="97" t="s">
        <v>98</v>
      </c>
      <c r="G475" s="187">
        <f>'МП пр.5'!G607</f>
        <v>1248.2000000000003</v>
      </c>
      <c r="H475" s="187">
        <f>'МП пр.5'!H607</f>
        <v>1248.2</v>
      </c>
      <c r="I475" s="187">
        <f t="shared" si="37"/>
        <v>0</v>
      </c>
      <c r="J475" s="189">
        <f t="shared" si="38"/>
        <v>99.999999999999972</v>
      </c>
    </row>
    <row r="476" spans="1:10" ht="38.25">
      <c r="A476" s="16" t="str">
        <f>'МП пр.5'!A608</f>
        <v>Совершенствование системы укрепления здоровья учащихся в общеобразовательных учреждениях  за счет средств местного бюджета</v>
      </c>
      <c r="B476" s="19" t="s">
        <v>272</v>
      </c>
      <c r="C476" s="20" t="s">
        <v>65</v>
      </c>
      <c r="D476" s="20" t="s">
        <v>63</v>
      </c>
      <c r="E476" s="97" t="str">
        <f>'МП пр.5'!B608</f>
        <v>7Ю 0 01 S3440</v>
      </c>
      <c r="F476" s="97"/>
      <c r="G476" s="187">
        <f>G477</f>
        <v>1537.5</v>
      </c>
      <c r="H476" s="187">
        <f>H477</f>
        <v>1537.3</v>
      </c>
      <c r="I476" s="187">
        <f t="shared" si="37"/>
        <v>0.20000000000004547</v>
      </c>
      <c r="J476" s="189">
        <f t="shared" si="38"/>
        <v>99.986991869918697</v>
      </c>
    </row>
    <row r="477" spans="1:10" ht="25.5">
      <c r="A477" s="16" t="s">
        <v>93</v>
      </c>
      <c r="B477" s="19" t="s">
        <v>272</v>
      </c>
      <c r="C477" s="20" t="s">
        <v>65</v>
      </c>
      <c r="D477" s="20" t="s">
        <v>63</v>
      </c>
      <c r="E477" s="97" t="s">
        <v>299</v>
      </c>
      <c r="F477" s="97" t="s">
        <v>94</v>
      </c>
      <c r="G477" s="187">
        <f>G478</f>
        <v>1537.5</v>
      </c>
      <c r="H477" s="187">
        <f>H478</f>
        <v>1537.3</v>
      </c>
      <c r="I477" s="187">
        <f t="shared" si="37"/>
        <v>0.20000000000004547</v>
      </c>
      <c r="J477" s="189">
        <f t="shared" si="38"/>
        <v>99.986991869918697</v>
      </c>
    </row>
    <row r="478" spans="1:10">
      <c r="A478" s="16" t="s">
        <v>97</v>
      </c>
      <c r="B478" s="19" t="s">
        <v>272</v>
      </c>
      <c r="C478" s="20" t="s">
        <v>65</v>
      </c>
      <c r="D478" s="20" t="s">
        <v>63</v>
      </c>
      <c r="E478" s="97" t="s">
        <v>299</v>
      </c>
      <c r="F478" s="97" t="s">
        <v>98</v>
      </c>
      <c r="G478" s="187">
        <f>'МП пр.5'!G613</f>
        <v>1537.5</v>
      </c>
      <c r="H478" s="187">
        <f>'МП пр.5'!H613</f>
        <v>1537.3</v>
      </c>
      <c r="I478" s="187">
        <f t="shared" si="37"/>
        <v>0.20000000000004547</v>
      </c>
      <c r="J478" s="189">
        <f t="shared" si="38"/>
        <v>99.986991869918697</v>
      </c>
    </row>
    <row r="479" spans="1:10" ht="25.5">
      <c r="A479" s="28" t="str">
        <f>'МП пр.5'!A614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9" s="19" t="s">
        <v>272</v>
      </c>
      <c r="C479" s="20" t="s">
        <v>65</v>
      </c>
      <c r="D479" s="20" t="s">
        <v>63</v>
      </c>
      <c r="E479" s="102" t="str">
        <f>'МП пр.5'!B614</f>
        <v xml:space="preserve">7Ю 0 01 73950 </v>
      </c>
      <c r="F479" s="97"/>
      <c r="G479" s="187">
        <f>G480</f>
        <v>808.8</v>
      </c>
      <c r="H479" s="187">
        <f>H480</f>
        <v>778</v>
      </c>
      <c r="I479" s="187">
        <f t="shared" si="37"/>
        <v>30.799999999999955</v>
      </c>
      <c r="J479" s="189">
        <f t="shared" si="38"/>
        <v>96.191889218595449</v>
      </c>
    </row>
    <row r="480" spans="1:10" ht="25.5">
      <c r="A480" s="16" t="s">
        <v>93</v>
      </c>
      <c r="B480" s="19" t="s">
        <v>272</v>
      </c>
      <c r="C480" s="20" t="s">
        <v>65</v>
      </c>
      <c r="D480" s="20" t="s">
        <v>63</v>
      </c>
      <c r="E480" s="102" t="s">
        <v>300</v>
      </c>
      <c r="F480" s="97" t="s">
        <v>94</v>
      </c>
      <c r="G480" s="187">
        <f>G481</f>
        <v>808.8</v>
      </c>
      <c r="H480" s="187">
        <f>H481</f>
        <v>778</v>
      </c>
      <c r="I480" s="187">
        <f t="shared" si="37"/>
        <v>30.799999999999955</v>
      </c>
      <c r="J480" s="189">
        <f t="shared" si="38"/>
        <v>96.191889218595449</v>
      </c>
    </row>
    <row r="481" spans="1:10">
      <c r="A481" s="16" t="s">
        <v>97</v>
      </c>
      <c r="B481" s="19" t="s">
        <v>272</v>
      </c>
      <c r="C481" s="20" t="s">
        <v>65</v>
      </c>
      <c r="D481" s="20" t="s">
        <v>63</v>
      </c>
      <c r="E481" s="102" t="s">
        <v>300</v>
      </c>
      <c r="F481" s="97" t="s">
        <v>98</v>
      </c>
      <c r="G481" s="187">
        <f>'МП пр.5'!G619</f>
        <v>808.8</v>
      </c>
      <c r="H481" s="187">
        <f>'МП пр.5'!H619</f>
        <v>778</v>
      </c>
      <c r="I481" s="187">
        <f t="shared" si="37"/>
        <v>30.799999999999955</v>
      </c>
      <c r="J481" s="189">
        <f t="shared" si="38"/>
        <v>96.191889218595449</v>
      </c>
    </row>
    <row r="482" spans="1:10" ht="38.25">
      <c r="A482" s="28" t="str">
        <f>'МП пр.5'!A620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2" s="19" t="s">
        <v>272</v>
      </c>
      <c r="C482" s="20" t="s">
        <v>65</v>
      </c>
      <c r="D482" s="20" t="s">
        <v>63</v>
      </c>
      <c r="E482" s="102" t="str">
        <f>'МП пр.5'!B620</f>
        <v xml:space="preserve">7Ю 0 01 S3950 </v>
      </c>
      <c r="F482" s="97"/>
      <c r="G482" s="187">
        <f>G483</f>
        <v>250.8</v>
      </c>
      <c r="H482" s="187">
        <f>H483</f>
        <v>250.5</v>
      </c>
      <c r="I482" s="187">
        <f t="shared" si="37"/>
        <v>0.30000000000001137</v>
      </c>
      <c r="J482" s="189">
        <f t="shared" si="38"/>
        <v>99.880382775119614</v>
      </c>
    </row>
    <row r="483" spans="1:10" ht="25.5">
      <c r="A483" s="16" t="s">
        <v>93</v>
      </c>
      <c r="B483" s="19" t="s">
        <v>272</v>
      </c>
      <c r="C483" s="20" t="s">
        <v>65</v>
      </c>
      <c r="D483" s="20" t="s">
        <v>63</v>
      </c>
      <c r="E483" s="102" t="s">
        <v>301</v>
      </c>
      <c r="F483" s="97" t="s">
        <v>94</v>
      </c>
      <c r="G483" s="187">
        <f>G484</f>
        <v>250.8</v>
      </c>
      <c r="H483" s="187">
        <f>H484</f>
        <v>250.5</v>
      </c>
      <c r="I483" s="187">
        <f t="shared" si="37"/>
        <v>0.30000000000001137</v>
      </c>
      <c r="J483" s="189">
        <f t="shared" si="38"/>
        <v>99.880382775119614</v>
      </c>
    </row>
    <row r="484" spans="1:10">
      <c r="A484" s="16" t="s">
        <v>97</v>
      </c>
      <c r="B484" s="19" t="s">
        <v>272</v>
      </c>
      <c r="C484" s="20" t="s">
        <v>65</v>
      </c>
      <c r="D484" s="20" t="s">
        <v>63</v>
      </c>
      <c r="E484" s="102" t="s">
        <v>301</v>
      </c>
      <c r="F484" s="97" t="s">
        <v>98</v>
      </c>
      <c r="G484" s="187">
        <f>'МП пр.5'!G625</f>
        <v>250.8</v>
      </c>
      <c r="H484" s="187">
        <f>'МП пр.5'!H625</f>
        <v>250.5</v>
      </c>
      <c r="I484" s="187">
        <f t="shared" si="37"/>
        <v>0.30000000000001137</v>
      </c>
      <c r="J484" s="189">
        <f t="shared" si="38"/>
        <v>99.880382775119614</v>
      </c>
    </row>
    <row r="485" spans="1:10" ht="25.5">
      <c r="A485" s="28" t="str">
        <f>'МП пр.5'!A626</f>
        <v>Проведение конкурсов, спартакиад, соревнований, акций и других мероприятий</v>
      </c>
      <c r="B485" s="19" t="s">
        <v>272</v>
      </c>
      <c r="C485" s="20" t="s">
        <v>65</v>
      </c>
      <c r="D485" s="20" t="s">
        <v>63</v>
      </c>
      <c r="E485" s="102" t="str">
        <f>'МП пр.5'!B626</f>
        <v xml:space="preserve">7Ю 0 01 93800 </v>
      </c>
      <c r="F485" s="97"/>
      <c r="G485" s="187">
        <f>G486</f>
        <v>93.4</v>
      </c>
      <c r="H485" s="187">
        <f>H486</f>
        <v>93.4</v>
      </c>
      <c r="I485" s="187">
        <f t="shared" si="37"/>
        <v>0</v>
      </c>
      <c r="J485" s="189">
        <f t="shared" si="38"/>
        <v>100</v>
      </c>
    </row>
    <row r="486" spans="1:10" ht="25.5">
      <c r="A486" s="16" t="s">
        <v>93</v>
      </c>
      <c r="B486" s="19" t="s">
        <v>272</v>
      </c>
      <c r="C486" s="20" t="s">
        <v>65</v>
      </c>
      <c r="D486" s="20" t="s">
        <v>63</v>
      </c>
      <c r="E486" s="102" t="s">
        <v>237</v>
      </c>
      <c r="F486" s="97" t="s">
        <v>94</v>
      </c>
      <c r="G486" s="187">
        <f>G487</f>
        <v>93.4</v>
      </c>
      <c r="H486" s="187">
        <f>H487</f>
        <v>93.4</v>
      </c>
      <c r="I486" s="187">
        <f t="shared" si="37"/>
        <v>0</v>
      </c>
      <c r="J486" s="189">
        <f t="shared" si="38"/>
        <v>100</v>
      </c>
    </row>
    <row r="487" spans="1:10">
      <c r="A487" s="16" t="s">
        <v>97</v>
      </c>
      <c r="B487" s="19" t="s">
        <v>272</v>
      </c>
      <c r="C487" s="20" t="s">
        <v>65</v>
      </c>
      <c r="D487" s="20" t="s">
        <v>63</v>
      </c>
      <c r="E487" s="102" t="s">
        <v>237</v>
      </c>
      <c r="F487" s="97" t="s">
        <v>98</v>
      </c>
      <c r="G487" s="187">
        <f>'МП пр.5'!G631</f>
        <v>93.4</v>
      </c>
      <c r="H487" s="187">
        <f>'МП пр.5'!H631</f>
        <v>93.4</v>
      </c>
      <c r="I487" s="187">
        <f t="shared" si="37"/>
        <v>0</v>
      </c>
      <c r="J487" s="189">
        <f t="shared" si="38"/>
        <v>100</v>
      </c>
    </row>
    <row r="488" spans="1:10" ht="25.5">
      <c r="A488" s="16" t="s">
        <v>56</v>
      </c>
      <c r="B488" s="19" t="s">
        <v>272</v>
      </c>
      <c r="C488" s="20" t="s">
        <v>65</v>
      </c>
      <c r="D488" s="20" t="s">
        <v>63</v>
      </c>
      <c r="E488" s="97" t="s">
        <v>459</v>
      </c>
      <c r="F488" s="97"/>
      <c r="G488" s="187">
        <f>G489+G492+G495</f>
        <v>39037.199999999997</v>
      </c>
      <c r="H488" s="187">
        <f>H489+H492+H495</f>
        <v>38712.6</v>
      </c>
      <c r="I488" s="187">
        <f t="shared" si="37"/>
        <v>324.59999999999854</v>
      </c>
      <c r="J488" s="189">
        <f t="shared" si="38"/>
        <v>99.168485444652802</v>
      </c>
    </row>
    <row r="489" spans="1:10" ht="25.5">
      <c r="A489" s="16" t="s">
        <v>183</v>
      </c>
      <c r="B489" s="19" t="s">
        <v>272</v>
      </c>
      <c r="C489" s="20" t="s">
        <v>65</v>
      </c>
      <c r="D489" s="20" t="s">
        <v>63</v>
      </c>
      <c r="E489" s="97" t="s">
        <v>460</v>
      </c>
      <c r="F489" s="97"/>
      <c r="G489" s="187">
        <f>G490</f>
        <v>35037</v>
      </c>
      <c r="H489" s="187">
        <f>H490</f>
        <v>34724</v>
      </c>
      <c r="I489" s="187">
        <f t="shared" si="37"/>
        <v>313</v>
      </c>
      <c r="J489" s="189">
        <f t="shared" si="38"/>
        <v>99.106658675114872</v>
      </c>
    </row>
    <row r="490" spans="1:10" ht="25.5">
      <c r="A490" s="16" t="s">
        <v>93</v>
      </c>
      <c r="B490" s="19" t="s">
        <v>272</v>
      </c>
      <c r="C490" s="20" t="s">
        <v>65</v>
      </c>
      <c r="D490" s="20" t="s">
        <v>63</v>
      </c>
      <c r="E490" s="97" t="s">
        <v>460</v>
      </c>
      <c r="F490" s="97" t="s">
        <v>94</v>
      </c>
      <c r="G490" s="187">
        <f>G491</f>
        <v>35037</v>
      </c>
      <c r="H490" s="187">
        <f>H491</f>
        <v>34724</v>
      </c>
      <c r="I490" s="187">
        <f t="shared" si="37"/>
        <v>313</v>
      </c>
      <c r="J490" s="189">
        <f t="shared" si="38"/>
        <v>99.106658675114872</v>
      </c>
    </row>
    <row r="491" spans="1:10">
      <c r="A491" s="16" t="s">
        <v>97</v>
      </c>
      <c r="B491" s="19" t="s">
        <v>272</v>
      </c>
      <c r="C491" s="20" t="s">
        <v>65</v>
      </c>
      <c r="D491" s="20" t="s">
        <v>63</v>
      </c>
      <c r="E491" s="97" t="s">
        <v>460</v>
      </c>
      <c r="F491" s="97" t="s">
        <v>98</v>
      </c>
      <c r="G491" s="187">
        <f>33725+692+310+310</f>
        <v>35037</v>
      </c>
      <c r="H491" s="187">
        <f>32964+1760</f>
        <v>34724</v>
      </c>
      <c r="I491" s="187">
        <f t="shared" si="37"/>
        <v>313</v>
      </c>
      <c r="J491" s="189">
        <f t="shared" si="38"/>
        <v>99.106658675114872</v>
      </c>
    </row>
    <row r="492" spans="1:10" ht="63.75">
      <c r="A492" s="16" t="s">
        <v>202</v>
      </c>
      <c r="B492" s="19" t="s">
        <v>272</v>
      </c>
      <c r="C492" s="20" t="s">
        <v>65</v>
      </c>
      <c r="D492" s="20" t="s">
        <v>63</v>
      </c>
      <c r="E492" s="97" t="s">
        <v>461</v>
      </c>
      <c r="F492" s="97"/>
      <c r="G492" s="187">
        <f>G493</f>
        <v>3387.2</v>
      </c>
      <c r="H492" s="187">
        <f>H493</f>
        <v>3376</v>
      </c>
      <c r="I492" s="187">
        <f t="shared" si="37"/>
        <v>11.199999999999818</v>
      </c>
      <c r="J492" s="189">
        <f t="shared" si="38"/>
        <v>99.669343410486547</v>
      </c>
    </row>
    <row r="493" spans="1:10" ht="25.5">
      <c r="A493" s="16" t="s">
        <v>93</v>
      </c>
      <c r="B493" s="19" t="s">
        <v>272</v>
      </c>
      <c r="C493" s="20" t="s">
        <v>65</v>
      </c>
      <c r="D493" s="20" t="s">
        <v>63</v>
      </c>
      <c r="E493" s="97" t="s">
        <v>461</v>
      </c>
      <c r="F493" s="97" t="s">
        <v>94</v>
      </c>
      <c r="G493" s="187">
        <f>G494</f>
        <v>3387.2</v>
      </c>
      <c r="H493" s="187">
        <f>H494</f>
        <v>3376</v>
      </c>
      <c r="I493" s="187">
        <f t="shared" si="37"/>
        <v>11.199999999999818</v>
      </c>
      <c r="J493" s="189">
        <f t="shared" si="38"/>
        <v>99.669343410486547</v>
      </c>
    </row>
    <row r="494" spans="1:10">
      <c r="A494" s="16" t="s">
        <v>97</v>
      </c>
      <c r="B494" s="19" t="s">
        <v>272</v>
      </c>
      <c r="C494" s="20" t="s">
        <v>65</v>
      </c>
      <c r="D494" s="20" t="s">
        <v>63</v>
      </c>
      <c r="E494" s="97" t="s">
        <v>461</v>
      </c>
      <c r="F494" s="97" t="s">
        <v>98</v>
      </c>
      <c r="G494" s="187">
        <f>3900-512.8</f>
        <v>3387.2</v>
      </c>
      <c r="H494" s="187">
        <f>3376</f>
        <v>3376</v>
      </c>
      <c r="I494" s="187">
        <f t="shared" si="37"/>
        <v>11.199999999999818</v>
      </c>
      <c r="J494" s="189">
        <f t="shared" si="38"/>
        <v>99.669343410486547</v>
      </c>
    </row>
    <row r="495" spans="1:10">
      <c r="A495" s="16" t="s">
        <v>174</v>
      </c>
      <c r="B495" s="19" t="s">
        <v>272</v>
      </c>
      <c r="C495" s="20" t="s">
        <v>65</v>
      </c>
      <c r="D495" s="20" t="s">
        <v>63</v>
      </c>
      <c r="E495" s="97" t="s">
        <v>462</v>
      </c>
      <c r="F495" s="97"/>
      <c r="G495" s="187">
        <f>G496</f>
        <v>613</v>
      </c>
      <c r="H495" s="187">
        <f>H496</f>
        <v>612.6</v>
      </c>
      <c r="I495" s="187">
        <f t="shared" si="37"/>
        <v>0.39999999999997726</v>
      </c>
      <c r="J495" s="189">
        <f t="shared" si="38"/>
        <v>99.934747145187615</v>
      </c>
    </row>
    <row r="496" spans="1:10" ht="25.5">
      <c r="A496" s="16" t="s">
        <v>93</v>
      </c>
      <c r="B496" s="19" t="s">
        <v>272</v>
      </c>
      <c r="C496" s="20" t="s">
        <v>65</v>
      </c>
      <c r="D496" s="20" t="s">
        <v>63</v>
      </c>
      <c r="E496" s="97" t="s">
        <v>462</v>
      </c>
      <c r="F496" s="97" t="s">
        <v>94</v>
      </c>
      <c r="G496" s="187">
        <f>G497</f>
        <v>613</v>
      </c>
      <c r="H496" s="187">
        <f>H497</f>
        <v>612.6</v>
      </c>
      <c r="I496" s="187">
        <f t="shared" si="37"/>
        <v>0.39999999999997726</v>
      </c>
      <c r="J496" s="189">
        <f t="shared" si="38"/>
        <v>99.934747145187615</v>
      </c>
    </row>
    <row r="497" spans="1:15">
      <c r="A497" s="16" t="s">
        <v>97</v>
      </c>
      <c r="B497" s="19" t="s">
        <v>272</v>
      </c>
      <c r="C497" s="20" t="s">
        <v>65</v>
      </c>
      <c r="D497" s="20" t="s">
        <v>63</v>
      </c>
      <c r="E497" s="97" t="s">
        <v>462</v>
      </c>
      <c r="F497" s="97" t="s">
        <v>98</v>
      </c>
      <c r="G497" s="187">
        <f>1270-657</f>
        <v>613</v>
      </c>
      <c r="H497" s="187">
        <v>612.6</v>
      </c>
      <c r="I497" s="187">
        <f t="shared" si="37"/>
        <v>0.39999999999997726</v>
      </c>
      <c r="J497" s="189">
        <f t="shared" si="38"/>
        <v>99.934747145187615</v>
      </c>
    </row>
    <row r="498" spans="1:15">
      <c r="A498" s="15" t="s">
        <v>302</v>
      </c>
      <c r="B498" s="35" t="s">
        <v>272</v>
      </c>
      <c r="C498" s="31" t="s">
        <v>65</v>
      </c>
      <c r="D498" s="31" t="s">
        <v>66</v>
      </c>
      <c r="E498" s="100"/>
      <c r="F498" s="100"/>
      <c r="G498" s="185">
        <f>G500+G508+G519+G530</f>
        <v>39696.200000000004</v>
      </c>
      <c r="H498" s="185">
        <f>H500+H508+H519+H530</f>
        <v>39643.100000000006</v>
      </c>
      <c r="I498" s="187">
        <f t="shared" si="37"/>
        <v>53.099999999998545</v>
      </c>
      <c r="J498" s="189">
        <f t="shared" si="38"/>
        <v>99.866234047591462</v>
      </c>
      <c r="L498" s="119">
        <f>G521+G524+G527</f>
        <v>1950.5</v>
      </c>
      <c r="M498" s="119">
        <f>H521+H524+H527</f>
        <v>1918.8</v>
      </c>
      <c r="N498" s="119">
        <f>L498-M498</f>
        <v>31.700000000000045</v>
      </c>
      <c r="O498" s="294">
        <f>M498/L498*100</f>
        <v>98.374775698538826</v>
      </c>
    </row>
    <row r="499" spans="1:15">
      <c r="A499" s="16" t="s">
        <v>430</v>
      </c>
      <c r="B499" s="19" t="s">
        <v>272</v>
      </c>
      <c r="C499" s="20" t="s">
        <v>65</v>
      </c>
      <c r="D499" s="20" t="s">
        <v>66</v>
      </c>
      <c r="E499" s="102" t="s">
        <v>431</v>
      </c>
      <c r="F499" s="97"/>
      <c r="G499" s="187">
        <f>G500+G508+G519</f>
        <v>2381.9</v>
      </c>
      <c r="H499" s="187">
        <f>H500+H508+H519</f>
        <v>2340.8000000000002</v>
      </c>
      <c r="I499" s="187">
        <f t="shared" si="37"/>
        <v>41.099999999999909</v>
      </c>
      <c r="J499" s="189">
        <f t="shared" si="38"/>
        <v>98.274486754271805</v>
      </c>
      <c r="L499" s="119"/>
      <c r="M499" s="119"/>
      <c r="N499" s="119"/>
      <c r="O499" s="294"/>
    </row>
    <row r="500" spans="1:15" ht="38.25">
      <c r="A500" s="28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500" s="19" t="s">
        <v>272</v>
      </c>
      <c r="C500" s="20" t="s">
        <v>65</v>
      </c>
      <c r="D500" s="19" t="s">
        <v>66</v>
      </c>
      <c r="E500" s="102" t="str">
        <f>'МП пр.5'!B17</f>
        <v xml:space="preserve">7Б 0 00 00000 </v>
      </c>
      <c r="F500" s="97"/>
      <c r="G500" s="187">
        <f>G501</f>
        <v>167.09999999999997</v>
      </c>
      <c r="H500" s="187">
        <f>H501</f>
        <v>157.80000000000001</v>
      </c>
      <c r="I500" s="187">
        <f t="shared" si="37"/>
        <v>9.2999999999999545</v>
      </c>
      <c r="J500" s="189">
        <f t="shared" si="38"/>
        <v>94.434470377019778</v>
      </c>
    </row>
    <row r="501" spans="1:15" ht="38.25">
      <c r="A501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1" s="19" t="s">
        <v>272</v>
      </c>
      <c r="C501" s="20" t="s">
        <v>65</v>
      </c>
      <c r="D501" s="20" t="s">
        <v>66</v>
      </c>
      <c r="E501" s="102" t="str">
        <f>'МП пр.5'!B18</f>
        <v xml:space="preserve">7Б 0 01 00000 </v>
      </c>
      <c r="F501" s="97"/>
      <c r="G501" s="187">
        <f>G502+G505</f>
        <v>167.09999999999997</v>
      </c>
      <c r="H501" s="187">
        <f>H502+H505</f>
        <v>157.80000000000001</v>
      </c>
      <c r="I501" s="187">
        <f t="shared" si="37"/>
        <v>9.2999999999999545</v>
      </c>
      <c r="J501" s="189">
        <f t="shared" si="38"/>
        <v>94.434470377019778</v>
      </c>
    </row>
    <row r="502" spans="1:15" ht="25.5">
      <c r="A502" s="28" t="str">
        <f>'МП пр.5'!A19</f>
        <v>Обслуживание систем видеонаблюдения, охранной сигнализации</v>
      </c>
      <c r="B502" s="19" t="s">
        <v>272</v>
      </c>
      <c r="C502" s="20" t="s">
        <v>65</v>
      </c>
      <c r="D502" s="20" t="s">
        <v>66</v>
      </c>
      <c r="E502" s="102" t="str">
        <f>'МП пр.5'!B19</f>
        <v xml:space="preserve">7Б 0 01 91600 </v>
      </c>
      <c r="F502" s="97"/>
      <c r="G502" s="187">
        <f>G503</f>
        <v>150.29999999999998</v>
      </c>
      <c r="H502" s="187">
        <f>H503</f>
        <v>150.30000000000001</v>
      </c>
      <c r="I502" s="187">
        <f t="shared" si="37"/>
        <v>0</v>
      </c>
      <c r="J502" s="189">
        <f t="shared" si="38"/>
        <v>100.00000000000003</v>
      </c>
    </row>
    <row r="503" spans="1:15" ht="25.5">
      <c r="A503" s="16" t="s">
        <v>93</v>
      </c>
      <c r="B503" s="19" t="s">
        <v>272</v>
      </c>
      <c r="C503" s="20" t="s">
        <v>65</v>
      </c>
      <c r="D503" s="20" t="s">
        <v>66</v>
      </c>
      <c r="E503" s="102" t="s">
        <v>361</v>
      </c>
      <c r="F503" s="97" t="s">
        <v>94</v>
      </c>
      <c r="G503" s="187">
        <f>G504</f>
        <v>150.29999999999998</v>
      </c>
      <c r="H503" s="187">
        <f>H504</f>
        <v>150.30000000000001</v>
      </c>
      <c r="I503" s="187">
        <f t="shared" si="37"/>
        <v>0</v>
      </c>
      <c r="J503" s="189">
        <f t="shared" si="38"/>
        <v>100.00000000000003</v>
      </c>
    </row>
    <row r="504" spans="1:15">
      <c r="A504" s="16" t="s">
        <v>97</v>
      </c>
      <c r="B504" s="19" t="s">
        <v>272</v>
      </c>
      <c r="C504" s="20" t="s">
        <v>65</v>
      </c>
      <c r="D504" s="20" t="s">
        <v>66</v>
      </c>
      <c r="E504" s="102" t="s">
        <v>361</v>
      </c>
      <c r="F504" s="97" t="s">
        <v>98</v>
      </c>
      <c r="G504" s="187">
        <f>'МП пр.5'!G32</f>
        <v>150.29999999999998</v>
      </c>
      <c r="H504" s="187">
        <f>'МП пр.5'!H32</f>
        <v>150.30000000000001</v>
      </c>
      <c r="I504" s="187">
        <f t="shared" si="37"/>
        <v>0</v>
      </c>
      <c r="J504" s="189">
        <f t="shared" si="38"/>
        <v>100.00000000000003</v>
      </c>
    </row>
    <row r="505" spans="1:15">
      <c r="A505" s="16" t="str">
        <f>'МП пр.5'!A33</f>
        <v xml:space="preserve">Укрепление материально- технической базы </v>
      </c>
      <c r="B505" s="19" t="s">
        <v>272</v>
      </c>
      <c r="C505" s="20" t="s">
        <v>65</v>
      </c>
      <c r="D505" s="20" t="s">
        <v>66</v>
      </c>
      <c r="E505" s="102" t="str">
        <f>'МП пр.5'!B33</f>
        <v>7Б 0 01 92500</v>
      </c>
      <c r="F505" s="97"/>
      <c r="G505" s="187">
        <f>G506</f>
        <v>16.799999999999997</v>
      </c>
      <c r="H505" s="187">
        <f>H506</f>
        <v>7.5</v>
      </c>
      <c r="I505" s="187">
        <f t="shared" si="37"/>
        <v>9.2999999999999972</v>
      </c>
      <c r="J505" s="189">
        <f t="shared" si="38"/>
        <v>44.642857142857153</v>
      </c>
    </row>
    <row r="506" spans="1:15" ht="25.5">
      <c r="A506" s="16" t="s">
        <v>93</v>
      </c>
      <c r="B506" s="19" t="s">
        <v>272</v>
      </c>
      <c r="C506" s="20" t="s">
        <v>65</v>
      </c>
      <c r="D506" s="20" t="s">
        <v>66</v>
      </c>
      <c r="E506" s="102" t="s">
        <v>363</v>
      </c>
      <c r="F506" s="97" t="s">
        <v>94</v>
      </c>
      <c r="G506" s="187">
        <f>G507</f>
        <v>16.799999999999997</v>
      </c>
      <c r="H506" s="187">
        <f>H507</f>
        <v>7.5</v>
      </c>
      <c r="I506" s="187">
        <f t="shared" si="37"/>
        <v>9.2999999999999972</v>
      </c>
      <c r="J506" s="189">
        <f t="shared" si="38"/>
        <v>44.642857142857153</v>
      </c>
    </row>
    <row r="507" spans="1:15">
      <c r="A507" s="16" t="s">
        <v>97</v>
      </c>
      <c r="B507" s="19" t="s">
        <v>272</v>
      </c>
      <c r="C507" s="20" t="s">
        <v>65</v>
      </c>
      <c r="D507" s="20" t="s">
        <v>66</v>
      </c>
      <c r="E507" s="102" t="s">
        <v>363</v>
      </c>
      <c r="F507" s="97" t="s">
        <v>98</v>
      </c>
      <c r="G507" s="187">
        <f>'МП пр.5'!G38</f>
        <v>16.799999999999997</v>
      </c>
      <c r="H507" s="187">
        <f>'МП пр.5'!H38</f>
        <v>7.5</v>
      </c>
      <c r="I507" s="187">
        <f t="shared" si="37"/>
        <v>9.2999999999999972</v>
      </c>
      <c r="J507" s="189">
        <f t="shared" si="38"/>
        <v>44.642857142857153</v>
      </c>
    </row>
    <row r="508" spans="1:15" ht="25.5">
      <c r="A508" s="28" t="str">
        <f>'МП пр.5'!A257</f>
        <v>Муниципальная программа  "Пожарная безопасность в Сусуманском городском округе на 2018- 2022 годы"</v>
      </c>
      <c r="B508" s="19" t="s">
        <v>272</v>
      </c>
      <c r="C508" s="20" t="s">
        <v>65</v>
      </c>
      <c r="D508" s="20" t="s">
        <v>66</v>
      </c>
      <c r="E508" s="102" t="str">
        <f>'МП пр.5'!B257</f>
        <v xml:space="preserve">7П 0 00 00000 </v>
      </c>
      <c r="F508" s="97"/>
      <c r="G508" s="187">
        <f>G509</f>
        <v>264.3</v>
      </c>
      <c r="H508" s="187">
        <f>H509</f>
        <v>264.2</v>
      </c>
      <c r="I508" s="187">
        <f t="shared" si="37"/>
        <v>0.10000000000002274</v>
      </c>
      <c r="J508" s="189">
        <f t="shared" si="38"/>
        <v>99.962164207340138</v>
      </c>
    </row>
    <row r="509" spans="1:15" ht="38.25">
      <c r="A509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9" s="19" t="s">
        <v>272</v>
      </c>
      <c r="C509" s="20" t="s">
        <v>65</v>
      </c>
      <c r="D509" s="20" t="s">
        <v>66</v>
      </c>
      <c r="E509" s="102" t="str">
        <f>'МП пр.5'!B258</f>
        <v xml:space="preserve">7П 0 01 00000 </v>
      </c>
      <c r="F509" s="97"/>
      <c r="G509" s="187">
        <f>G510+G513+G516</f>
        <v>264.3</v>
      </c>
      <c r="H509" s="187">
        <f>H510+H513+H516</f>
        <v>264.2</v>
      </c>
      <c r="I509" s="187">
        <f t="shared" si="37"/>
        <v>0.10000000000002274</v>
      </c>
      <c r="J509" s="189">
        <f t="shared" si="38"/>
        <v>99.962164207340138</v>
      </c>
    </row>
    <row r="510" spans="1:15" ht="38.25">
      <c r="A510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0" s="19" t="s">
        <v>272</v>
      </c>
      <c r="C510" s="20" t="s">
        <v>65</v>
      </c>
      <c r="D510" s="20" t="s">
        <v>66</v>
      </c>
      <c r="E510" s="102" t="str">
        <f>'МП пр.5'!B259</f>
        <v xml:space="preserve">7П 0 01 94100 </v>
      </c>
      <c r="F510" s="97"/>
      <c r="G510" s="187">
        <f>G511</f>
        <v>210.1</v>
      </c>
      <c r="H510" s="187">
        <f>H511</f>
        <v>210</v>
      </c>
      <c r="I510" s="187">
        <f t="shared" si="37"/>
        <v>9.9999999999994316E-2</v>
      </c>
      <c r="J510" s="189">
        <f t="shared" si="38"/>
        <v>99.952403617325075</v>
      </c>
    </row>
    <row r="511" spans="1:15" ht="25.5">
      <c r="A511" s="16" t="s">
        <v>93</v>
      </c>
      <c r="B511" s="19" t="s">
        <v>272</v>
      </c>
      <c r="C511" s="20" t="s">
        <v>65</v>
      </c>
      <c r="D511" s="20" t="s">
        <v>66</v>
      </c>
      <c r="E511" s="102" t="s">
        <v>234</v>
      </c>
      <c r="F511" s="97" t="s">
        <v>94</v>
      </c>
      <c r="G511" s="187">
        <f>G512</f>
        <v>210.1</v>
      </c>
      <c r="H511" s="187">
        <f>H512</f>
        <v>210</v>
      </c>
      <c r="I511" s="187">
        <f t="shared" si="37"/>
        <v>9.9999999999994316E-2</v>
      </c>
      <c r="J511" s="189">
        <f t="shared" si="38"/>
        <v>99.952403617325075</v>
      </c>
    </row>
    <row r="512" spans="1:15">
      <c r="A512" s="16" t="s">
        <v>97</v>
      </c>
      <c r="B512" s="19" t="s">
        <v>272</v>
      </c>
      <c r="C512" s="20" t="s">
        <v>65</v>
      </c>
      <c r="D512" s="20" t="s">
        <v>66</v>
      </c>
      <c r="E512" s="102" t="s">
        <v>234</v>
      </c>
      <c r="F512" s="97" t="s">
        <v>98</v>
      </c>
      <c r="G512" s="187">
        <f>'МП пр.5'!G272</f>
        <v>210.1</v>
      </c>
      <c r="H512" s="187">
        <f>'МП пр.5'!H272</f>
        <v>210</v>
      </c>
      <c r="I512" s="187">
        <f t="shared" si="37"/>
        <v>9.9999999999994316E-2</v>
      </c>
      <c r="J512" s="189">
        <f t="shared" si="38"/>
        <v>99.952403617325075</v>
      </c>
    </row>
    <row r="513" spans="1:10" ht="25.5">
      <c r="A513" s="28" t="str">
        <f>'МП пр.5'!A319</f>
        <v>Проведение замеров сопротивления изоляции электросетей и электрооборудования</v>
      </c>
      <c r="B513" s="19" t="s">
        <v>272</v>
      </c>
      <c r="C513" s="20" t="s">
        <v>65</v>
      </c>
      <c r="D513" s="20" t="s">
        <v>66</v>
      </c>
      <c r="E513" s="102" t="str">
        <f>'МП пр.5'!B319</f>
        <v xml:space="preserve">7П 0 01 94400 </v>
      </c>
      <c r="F513" s="97"/>
      <c r="G513" s="187">
        <f>G514</f>
        <v>38.4</v>
      </c>
      <c r="H513" s="187">
        <f>H514</f>
        <v>38.4</v>
      </c>
      <c r="I513" s="187">
        <f t="shared" si="37"/>
        <v>0</v>
      </c>
      <c r="J513" s="189">
        <f t="shared" si="38"/>
        <v>100</v>
      </c>
    </row>
    <row r="514" spans="1:10" ht="25.5">
      <c r="A514" s="16" t="s">
        <v>93</v>
      </c>
      <c r="B514" s="19" t="s">
        <v>272</v>
      </c>
      <c r="C514" s="20" t="s">
        <v>65</v>
      </c>
      <c r="D514" s="20" t="s">
        <v>66</v>
      </c>
      <c r="E514" s="102" t="s">
        <v>235</v>
      </c>
      <c r="F514" s="97" t="s">
        <v>94</v>
      </c>
      <c r="G514" s="187">
        <f>G515</f>
        <v>38.4</v>
      </c>
      <c r="H514" s="187">
        <f>H515</f>
        <v>38.4</v>
      </c>
      <c r="I514" s="187">
        <f t="shared" si="37"/>
        <v>0</v>
      </c>
      <c r="J514" s="189">
        <f t="shared" si="38"/>
        <v>100</v>
      </c>
    </row>
    <row r="515" spans="1:10">
      <c r="A515" s="16" t="s">
        <v>97</v>
      </c>
      <c r="B515" s="19" t="s">
        <v>272</v>
      </c>
      <c r="C515" s="20" t="s">
        <v>65</v>
      </c>
      <c r="D515" s="20" t="s">
        <v>66</v>
      </c>
      <c r="E515" s="102" t="s">
        <v>235</v>
      </c>
      <c r="F515" s="97" t="s">
        <v>98</v>
      </c>
      <c r="G515" s="187">
        <f>'МП пр.5'!G332</f>
        <v>38.4</v>
      </c>
      <c r="H515" s="187">
        <f>'МП пр.5'!H332</f>
        <v>38.4</v>
      </c>
      <c r="I515" s="187">
        <f t="shared" si="37"/>
        <v>0</v>
      </c>
      <c r="J515" s="189">
        <f t="shared" si="38"/>
        <v>100</v>
      </c>
    </row>
    <row r="516" spans="1:10" ht="38.25">
      <c r="A516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516" s="19" t="s">
        <v>272</v>
      </c>
      <c r="C516" s="20" t="s">
        <v>65</v>
      </c>
      <c r="D516" s="20" t="s">
        <v>66</v>
      </c>
      <c r="E516" s="102" t="str">
        <f>'МП пр.5'!B338</f>
        <v xml:space="preserve">7П 0 01 94500 </v>
      </c>
      <c r="F516" s="97"/>
      <c r="G516" s="187">
        <f>G517</f>
        <v>15.8</v>
      </c>
      <c r="H516" s="187">
        <f>H517</f>
        <v>15.8</v>
      </c>
      <c r="I516" s="187">
        <f t="shared" si="37"/>
        <v>0</v>
      </c>
      <c r="J516" s="189">
        <f t="shared" si="38"/>
        <v>100</v>
      </c>
    </row>
    <row r="517" spans="1:10" ht="25.5">
      <c r="A517" s="16" t="s">
        <v>93</v>
      </c>
      <c r="B517" s="19" t="s">
        <v>272</v>
      </c>
      <c r="C517" s="20" t="s">
        <v>65</v>
      </c>
      <c r="D517" s="20" t="s">
        <v>66</v>
      </c>
      <c r="E517" s="102" t="s">
        <v>236</v>
      </c>
      <c r="F517" s="97" t="s">
        <v>94</v>
      </c>
      <c r="G517" s="187">
        <f>G518</f>
        <v>15.8</v>
      </c>
      <c r="H517" s="187">
        <f>H518</f>
        <v>15.8</v>
      </c>
      <c r="I517" s="187">
        <f t="shared" si="37"/>
        <v>0</v>
      </c>
      <c r="J517" s="189">
        <f t="shared" si="38"/>
        <v>100</v>
      </c>
    </row>
    <row r="518" spans="1:10">
      <c r="A518" s="16" t="s">
        <v>97</v>
      </c>
      <c r="B518" s="19" t="s">
        <v>272</v>
      </c>
      <c r="C518" s="20" t="s">
        <v>65</v>
      </c>
      <c r="D518" s="20" t="s">
        <v>66</v>
      </c>
      <c r="E518" s="102" t="s">
        <v>236</v>
      </c>
      <c r="F518" s="97" t="s">
        <v>98</v>
      </c>
      <c r="G518" s="187">
        <f>'МП пр.5'!G351</f>
        <v>15.8</v>
      </c>
      <c r="H518" s="187">
        <f>'МП пр.5'!H351</f>
        <v>15.8</v>
      </c>
      <c r="I518" s="187">
        <f t="shared" si="37"/>
        <v>0</v>
      </c>
      <c r="J518" s="189">
        <f t="shared" si="38"/>
        <v>100</v>
      </c>
    </row>
    <row r="519" spans="1:10" ht="25.5">
      <c r="A519" s="28" t="str">
        <f>'МП пр.5'!A384</f>
        <v>Муниципальная  программа  "Развитие образования в Сусуманском городском округе  на 2018- 2022 годы"</v>
      </c>
      <c r="B519" s="19" t="s">
        <v>272</v>
      </c>
      <c r="C519" s="20" t="s">
        <v>65</v>
      </c>
      <c r="D519" s="20" t="s">
        <v>66</v>
      </c>
      <c r="E519" s="97" t="str">
        <f>'МП пр.5'!B384</f>
        <v xml:space="preserve">7Р 0 00 00000 </v>
      </c>
      <c r="F519" s="100"/>
      <c r="G519" s="187">
        <f>G520</f>
        <v>1950.5</v>
      </c>
      <c r="H519" s="187">
        <f>H520</f>
        <v>1918.8</v>
      </c>
      <c r="I519" s="187">
        <f t="shared" si="37"/>
        <v>31.700000000000045</v>
      </c>
      <c r="J519" s="189">
        <f t="shared" si="38"/>
        <v>98.374775698538826</v>
      </c>
    </row>
    <row r="520" spans="1:10" ht="25.5">
      <c r="A520" s="16" t="str">
        <f>'МП пр.5'!A392</f>
        <v>Основное мероприятие "Управление развитием отрасли образования"</v>
      </c>
      <c r="B520" s="19" t="s">
        <v>272</v>
      </c>
      <c r="C520" s="20" t="s">
        <v>65</v>
      </c>
      <c r="D520" s="20" t="s">
        <v>66</v>
      </c>
      <c r="E520" s="97" t="str">
        <f>'МП пр.5'!B392</f>
        <v>7Р 0 02 00000</v>
      </c>
      <c r="F520" s="100"/>
      <c r="G520" s="187">
        <f>G521+G524+G527</f>
        <v>1950.5</v>
      </c>
      <c r="H520" s="187">
        <f>H521+H524+H527</f>
        <v>1918.8</v>
      </c>
      <c r="I520" s="187">
        <f t="shared" si="37"/>
        <v>31.700000000000045</v>
      </c>
      <c r="J520" s="189">
        <f t="shared" si="38"/>
        <v>98.374775698538826</v>
      </c>
    </row>
    <row r="521" spans="1:10" ht="51">
      <c r="A521" s="1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1" s="19" t="s">
        <v>272</v>
      </c>
      <c r="C521" s="20" t="s">
        <v>65</v>
      </c>
      <c r="D521" s="20" t="s">
        <v>66</v>
      </c>
      <c r="E521" s="97" t="str">
        <f>'МП пр.5'!B419</f>
        <v>7Р 0 02 74060</v>
      </c>
      <c r="F521" s="97"/>
      <c r="G521" s="187">
        <f>G522</f>
        <v>140.69999999999999</v>
      </c>
      <c r="H521" s="187">
        <f>H522</f>
        <v>137.5</v>
      </c>
      <c r="I521" s="187">
        <f t="shared" si="37"/>
        <v>3.1999999999999886</v>
      </c>
      <c r="J521" s="189">
        <f t="shared" si="38"/>
        <v>97.725657427149969</v>
      </c>
    </row>
    <row r="522" spans="1:10" ht="25.5">
      <c r="A522" s="16" t="s">
        <v>93</v>
      </c>
      <c r="B522" s="19" t="s">
        <v>272</v>
      </c>
      <c r="C522" s="20" t="s">
        <v>65</v>
      </c>
      <c r="D522" s="20" t="s">
        <v>66</v>
      </c>
      <c r="E522" s="97" t="s">
        <v>337</v>
      </c>
      <c r="F522" s="97" t="s">
        <v>94</v>
      </c>
      <c r="G522" s="187">
        <f>G523</f>
        <v>140.69999999999999</v>
      </c>
      <c r="H522" s="187">
        <f>H523</f>
        <v>137.5</v>
      </c>
      <c r="I522" s="187">
        <f t="shared" si="37"/>
        <v>3.1999999999999886</v>
      </c>
      <c r="J522" s="189">
        <f t="shared" si="38"/>
        <v>97.725657427149969</v>
      </c>
    </row>
    <row r="523" spans="1:10">
      <c r="A523" s="16" t="s">
        <v>97</v>
      </c>
      <c r="B523" s="19" t="s">
        <v>272</v>
      </c>
      <c r="C523" s="20" t="s">
        <v>65</v>
      </c>
      <c r="D523" s="20" t="s">
        <v>66</v>
      </c>
      <c r="E523" s="97" t="s">
        <v>337</v>
      </c>
      <c r="F523" s="97" t="s">
        <v>98</v>
      </c>
      <c r="G523" s="187">
        <f>'МП пр.5'!G432</f>
        <v>140.69999999999999</v>
      </c>
      <c r="H523" s="187">
        <f>'МП пр.5'!H432</f>
        <v>137.5</v>
      </c>
      <c r="I523" s="187">
        <f t="shared" si="37"/>
        <v>3.1999999999999886</v>
      </c>
      <c r="J523" s="189">
        <f t="shared" si="38"/>
        <v>97.725657427149969</v>
      </c>
    </row>
    <row r="524" spans="1:10" ht="51">
      <c r="A524" s="1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24" s="19" t="s">
        <v>272</v>
      </c>
      <c r="C524" s="20" t="s">
        <v>65</v>
      </c>
      <c r="D524" s="20" t="s">
        <v>66</v>
      </c>
      <c r="E524" s="97" t="str">
        <f>'МП пр.5'!B434</f>
        <v>7Р 0 02 74070</v>
      </c>
      <c r="F524" s="97"/>
      <c r="G524" s="187">
        <f>G525</f>
        <v>659.8</v>
      </c>
      <c r="H524" s="187">
        <f>H525</f>
        <v>631.29999999999995</v>
      </c>
      <c r="I524" s="187">
        <f t="shared" si="37"/>
        <v>28.5</v>
      </c>
      <c r="J524" s="189">
        <f t="shared" si="38"/>
        <v>95.680509245225835</v>
      </c>
    </row>
    <row r="525" spans="1:10" ht="25.5">
      <c r="A525" s="16" t="s">
        <v>93</v>
      </c>
      <c r="B525" s="19" t="s">
        <v>272</v>
      </c>
      <c r="C525" s="20" t="s">
        <v>65</v>
      </c>
      <c r="D525" s="20" t="s">
        <v>66</v>
      </c>
      <c r="E525" s="97" t="s">
        <v>338</v>
      </c>
      <c r="F525" s="97" t="s">
        <v>94</v>
      </c>
      <c r="G525" s="187">
        <f>G526</f>
        <v>659.8</v>
      </c>
      <c r="H525" s="187">
        <f>H526</f>
        <v>631.29999999999995</v>
      </c>
      <c r="I525" s="187">
        <f t="shared" si="37"/>
        <v>28.5</v>
      </c>
      <c r="J525" s="189">
        <f t="shared" si="38"/>
        <v>95.680509245225835</v>
      </c>
    </row>
    <row r="526" spans="1:10">
      <c r="A526" s="16" t="s">
        <v>97</v>
      </c>
      <c r="B526" s="19" t="s">
        <v>272</v>
      </c>
      <c r="C526" s="20" t="s">
        <v>65</v>
      </c>
      <c r="D526" s="20" t="s">
        <v>66</v>
      </c>
      <c r="E526" s="97" t="s">
        <v>338</v>
      </c>
      <c r="F526" s="97" t="s">
        <v>98</v>
      </c>
      <c r="G526" s="187">
        <f>'МП пр.5'!G447</f>
        <v>659.8</v>
      </c>
      <c r="H526" s="187">
        <f>'МП пр.5'!H447</f>
        <v>631.29999999999995</v>
      </c>
      <c r="I526" s="187">
        <f t="shared" si="37"/>
        <v>28.5</v>
      </c>
      <c r="J526" s="189">
        <f t="shared" si="38"/>
        <v>95.680509245225835</v>
      </c>
    </row>
    <row r="527" spans="1:10" ht="51">
      <c r="A527" s="1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27" s="19" t="s">
        <v>272</v>
      </c>
      <c r="C527" s="20" t="s">
        <v>65</v>
      </c>
      <c r="D527" s="20" t="s">
        <v>66</v>
      </c>
      <c r="E527" s="97" t="str">
        <f>'МП пр.5'!B461</f>
        <v>7Р 0 02 75010</v>
      </c>
      <c r="F527" s="97"/>
      <c r="G527" s="187">
        <f>G528</f>
        <v>1150</v>
      </c>
      <c r="H527" s="187">
        <f>H528</f>
        <v>1150</v>
      </c>
      <c r="I527" s="187">
        <f t="shared" ref="I527:I590" si="40">G527-H527</f>
        <v>0</v>
      </c>
      <c r="J527" s="189">
        <f t="shared" ref="J527:J590" si="41">H527/G527*100</f>
        <v>100</v>
      </c>
    </row>
    <row r="528" spans="1:10" ht="25.5">
      <c r="A528" s="16" t="s">
        <v>93</v>
      </c>
      <c r="B528" s="19" t="s">
        <v>272</v>
      </c>
      <c r="C528" s="20" t="s">
        <v>65</v>
      </c>
      <c r="D528" s="20" t="s">
        <v>66</v>
      </c>
      <c r="E528" s="97" t="s">
        <v>340</v>
      </c>
      <c r="F528" s="97" t="s">
        <v>94</v>
      </c>
      <c r="G528" s="187">
        <f>G529</f>
        <v>1150</v>
      </c>
      <c r="H528" s="187">
        <f>H529</f>
        <v>1150</v>
      </c>
      <c r="I528" s="187">
        <f t="shared" si="40"/>
        <v>0</v>
      </c>
      <c r="J528" s="189">
        <f t="shared" si="41"/>
        <v>100</v>
      </c>
    </row>
    <row r="529" spans="1:10">
      <c r="A529" s="16" t="s">
        <v>97</v>
      </c>
      <c r="B529" s="19" t="s">
        <v>272</v>
      </c>
      <c r="C529" s="20" t="s">
        <v>65</v>
      </c>
      <c r="D529" s="20" t="s">
        <v>66</v>
      </c>
      <c r="E529" s="97" t="s">
        <v>340</v>
      </c>
      <c r="F529" s="97" t="s">
        <v>98</v>
      </c>
      <c r="G529" s="187">
        <f>'МП пр.5'!G474</f>
        <v>1150</v>
      </c>
      <c r="H529" s="187">
        <f>'МП пр.5'!H474</f>
        <v>1150</v>
      </c>
      <c r="I529" s="187">
        <f t="shared" si="40"/>
        <v>0</v>
      </c>
      <c r="J529" s="189">
        <f t="shared" si="41"/>
        <v>100</v>
      </c>
    </row>
    <row r="530" spans="1:10">
      <c r="A530" s="16" t="s">
        <v>226</v>
      </c>
      <c r="B530" s="19" t="s">
        <v>272</v>
      </c>
      <c r="C530" s="20" t="s">
        <v>65</v>
      </c>
      <c r="D530" s="20" t="s">
        <v>66</v>
      </c>
      <c r="E530" s="97" t="s">
        <v>463</v>
      </c>
      <c r="F530" s="97"/>
      <c r="G530" s="187">
        <f>G531+G534+G537</f>
        <v>37314.300000000003</v>
      </c>
      <c r="H530" s="187">
        <f>H531+H534+H537</f>
        <v>37302.300000000003</v>
      </c>
      <c r="I530" s="187">
        <f t="shared" si="40"/>
        <v>12</v>
      </c>
      <c r="J530" s="189">
        <f t="shared" si="41"/>
        <v>99.967840747381032</v>
      </c>
    </row>
    <row r="531" spans="1:10" ht="25.5">
      <c r="A531" s="16" t="s">
        <v>183</v>
      </c>
      <c r="B531" s="19" t="s">
        <v>272</v>
      </c>
      <c r="C531" s="20" t="s">
        <v>65</v>
      </c>
      <c r="D531" s="20" t="s">
        <v>66</v>
      </c>
      <c r="E531" s="97" t="s">
        <v>464</v>
      </c>
      <c r="F531" s="97"/>
      <c r="G531" s="187">
        <f>G532</f>
        <v>36904.300000000003</v>
      </c>
      <c r="H531" s="187">
        <f>H532</f>
        <v>36893.300000000003</v>
      </c>
      <c r="I531" s="187">
        <f t="shared" si="40"/>
        <v>11</v>
      </c>
      <c r="J531" s="189">
        <f t="shared" si="41"/>
        <v>99.970193175321029</v>
      </c>
    </row>
    <row r="532" spans="1:10" ht="25.5">
      <c r="A532" s="16" t="s">
        <v>93</v>
      </c>
      <c r="B532" s="19" t="s">
        <v>272</v>
      </c>
      <c r="C532" s="20" t="s">
        <v>65</v>
      </c>
      <c r="D532" s="20" t="s">
        <v>66</v>
      </c>
      <c r="E532" s="97" t="s">
        <v>464</v>
      </c>
      <c r="F532" s="97" t="s">
        <v>94</v>
      </c>
      <c r="G532" s="187">
        <f>G533</f>
        <v>36904.300000000003</v>
      </c>
      <c r="H532" s="187">
        <f>H533</f>
        <v>36893.300000000003</v>
      </c>
      <c r="I532" s="187">
        <f t="shared" si="40"/>
        <v>11</v>
      </c>
      <c r="J532" s="189">
        <f t="shared" si="41"/>
        <v>99.970193175321029</v>
      </c>
    </row>
    <row r="533" spans="1:10">
      <c r="A533" s="16" t="s">
        <v>97</v>
      </c>
      <c r="B533" s="19" t="s">
        <v>272</v>
      </c>
      <c r="C533" s="20" t="s">
        <v>65</v>
      </c>
      <c r="D533" s="20" t="s">
        <v>66</v>
      </c>
      <c r="E533" s="97" t="s">
        <v>464</v>
      </c>
      <c r="F533" s="97" t="s">
        <v>98</v>
      </c>
      <c r="G533" s="187">
        <f>32112.7+2951.8+1839.8</f>
        <v>36904.300000000003</v>
      </c>
      <c r="H533" s="187">
        <f>36693.3+200</f>
        <v>36893.300000000003</v>
      </c>
      <c r="I533" s="187">
        <f t="shared" si="40"/>
        <v>11</v>
      </c>
      <c r="J533" s="189">
        <f t="shared" si="41"/>
        <v>99.970193175321029</v>
      </c>
    </row>
    <row r="534" spans="1:10" ht="63.75">
      <c r="A534" s="16" t="s">
        <v>202</v>
      </c>
      <c r="B534" s="19" t="s">
        <v>272</v>
      </c>
      <c r="C534" s="20" t="s">
        <v>65</v>
      </c>
      <c r="D534" s="20" t="s">
        <v>66</v>
      </c>
      <c r="E534" s="97" t="s">
        <v>465</v>
      </c>
      <c r="F534" s="97"/>
      <c r="G534" s="187">
        <f>G535</f>
        <v>364</v>
      </c>
      <c r="H534" s="187">
        <f>H535</f>
        <v>363.6</v>
      </c>
      <c r="I534" s="187">
        <f t="shared" si="40"/>
        <v>0.39999999999997726</v>
      </c>
      <c r="J534" s="189">
        <f t="shared" si="41"/>
        <v>99.890109890109898</v>
      </c>
    </row>
    <row r="535" spans="1:10" ht="25.5">
      <c r="A535" s="16" t="s">
        <v>93</v>
      </c>
      <c r="B535" s="19" t="s">
        <v>272</v>
      </c>
      <c r="C535" s="20" t="s">
        <v>65</v>
      </c>
      <c r="D535" s="20" t="s">
        <v>66</v>
      </c>
      <c r="E535" s="97" t="s">
        <v>465</v>
      </c>
      <c r="F535" s="97" t="s">
        <v>94</v>
      </c>
      <c r="G535" s="187">
        <f>G536</f>
        <v>364</v>
      </c>
      <c r="H535" s="187">
        <f>H536</f>
        <v>363.6</v>
      </c>
      <c r="I535" s="187">
        <f t="shared" si="40"/>
        <v>0.39999999999997726</v>
      </c>
      <c r="J535" s="189">
        <f t="shared" si="41"/>
        <v>99.890109890109898</v>
      </c>
    </row>
    <row r="536" spans="1:10">
      <c r="A536" s="16" t="s">
        <v>97</v>
      </c>
      <c r="B536" s="19" t="s">
        <v>272</v>
      </c>
      <c r="C536" s="20" t="s">
        <v>65</v>
      </c>
      <c r="D536" s="20" t="s">
        <v>66</v>
      </c>
      <c r="E536" s="97" t="s">
        <v>465</v>
      </c>
      <c r="F536" s="97" t="s">
        <v>98</v>
      </c>
      <c r="G536" s="187">
        <f>320+44</f>
        <v>364</v>
      </c>
      <c r="H536" s="187">
        <v>363.6</v>
      </c>
      <c r="I536" s="187">
        <f t="shared" si="40"/>
        <v>0.39999999999997726</v>
      </c>
      <c r="J536" s="189">
        <f t="shared" si="41"/>
        <v>99.890109890109898</v>
      </c>
    </row>
    <row r="537" spans="1:10">
      <c r="A537" s="16" t="s">
        <v>174</v>
      </c>
      <c r="B537" s="19" t="s">
        <v>272</v>
      </c>
      <c r="C537" s="20" t="s">
        <v>65</v>
      </c>
      <c r="D537" s="20" t="s">
        <v>66</v>
      </c>
      <c r="E537" s="97" t="s">
        <v>466</v>
      </c>
      <c r="F537" s="97"/>
      <c r="G537" s="187">
        <f>G538</f>
        <v>46</v>
      </c>
      <c r="H537" s="187">
        <f>H538</f>
        <v>45.4</v>
      </c>
      <c r="I537" s="187">
        <f t="shared" si="40"/>
        <v>0.60000000000000142</v>
      </c>
      <c r="J537" s="189">
        <f t="shared" si="41"/>
        <v>98.695652173913047</v>
      </c>
    </row>
    <row r="538" spans="1:10" ht="25.5">
      <c r="A538" s="16" t="s">
        <v>93</v>
      </c>
      <c r="B538" s="19" t="s">
        <v>272</v>
      </c>
      <c r="C538" s="20" t="s">
        <v>65</v>
      </c>
      <c r="D538" s="20" t="s">
        <v>66</v>
      </c>
      <c r="E538" s="97" t="s">
        <v>466</v>
      </c>
      <c r="F538" s="97" t="s">
        <v>94</v>
      </c>
      <c r="G538" s="187">
        <f>G539</f>
        <v>46</v>
      </c>
      <c r="H538" s="187">
        <f>H539</f>
        <v>45.4</v>
      </c>
      <c r="I538" s="187">
        <f t="shared" si="40"/>
        <v>0.60000000000000142</v>
      </c>
      <c r="J538" s="189">
        <f t="shared" si="41"/>
        <v>98.695652173913047</v>
      </c>
    </row>
    <row r="539" spans="1:10" ht="14.45" customHeight="1">
      <c r="A539" s="16" t="s">
        <v>97</v>
      </c>
      <c r="B539" s="19" t="s">
        <v>272</v>
      </c>
      <c r="C539" s="20" t="s">
        <v>65</v>
      </c>
      <c r="D539" s="20" t="s">
        <v>66</v>
      </c>
      <c r="E539" s="97" t="s">
        <v>466</v>
      </c>
      <c r="F539" s="97" t="s">
        <v>98</v>
      </c>
      <c r="G539" s="187">
        <f>42+4</f>
        <v>46</v>
      </c>
      <c r="H539" s="187">
        <v>45.4</v>
      </c>
      <c r="I539" s="187">
        <f t="shared" si="40"/>
        <v>0.60000000000000142</v>
      </c>
      <c r="J539" s="189">
        <f t="shared" si="41"/>
        <v>98.695652173913047</v>
      </c>
    </row>
    <row r="540" spans="1:10" s="58" customFormat="1">
      <c r="A540" s="14" t="s">
        <v>333</v>
      </c>
      <c r="B540" s="35" t="s">
        <v>272</v>
      </c>
      <c r="C540" s="31" t="s">
        <v>65</v>
      </c>
      <c r="D540" s="31" t="s">
        <v>65</v>
      </c>
      <c r="E540" s="100"/>
      <c r="F540" s="100"/>
      <c r="G540" s="185">
        <f>G542+G547+G557+G569</f>
        <v>9577.6999999999989</v>
      </c>
      <c r="H540" s="185">
        <f>H542+H547+H557+H569</f>
        <v>9151.2999999999993</v>
      </c>
      <c r="I540" s="187">
        <f t="shared" si="40"/>
        <v>426.39999999999964</v>
      </c>
      <c r="J540" s="189">
        <f t="shared" si="41"/>
        <v>95.54799168902764</v>
      </c>
    </row>
    <row r="541" spans="1:10">
      <c r="A541" s="29" t="s">
        <v>430</v>
      </c>
      <c r="B541" s="19" t="s">
        <v>272</v>
      </c>
      <c r="C541" s="20" t="s">
        <v>65</v>
      </c>
      <c r="D541" s="20" t="s">
        <v>65</v>
      </c>
      <c r="E541" s="102" t="s">
        <v>431</v>
      </c>
      <c r="F541" s="97"/>
      <c r="G541" s="187">
        <f>G542+G547+G557+G569</f>
        <v>9577.6999999999989</v>
      </c>
      <c r="H541" s="187">
        <f>H542+H547+H557+H569</f>
        <v>9151.2999999999993</v>
      </c>
      <c r="I541" s="187">
        <f t="shared" si="40"/>
        <v>426.39999999999964</v>
      </c>
      <c r="J541" s="189">
        <f t="shared" si="41"/>
        <v>95.54799168902764</v>
      </c>
    </row>
    <row r="542" spans="1:10" ht="25.5">
      <c r="A542" s="28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542" s="19" t="s">
        <v>272</v>
      </c>
      <c r="C542" s="20" t="s">
        <v>65</v>
      </c>
      <c r="D542" s="20" t="s">
        <v>65</v>
      </c>
      <c r="E542" s="102" t="str">
        <f>'МП пр.5'!B45</f>
        <v xml:space="preserve">7В 0 00 00000 </v>
      </c>
      <c r="F542" s="97"/>
      <c r="G542" s="187">
        <f t="shared" ref="G542:H545" si="42">G543</f>
        <v>108.5</v>
      </c>
      <c r="H542" s="187">
        <f t="shared" si="42"/>
        <v>108.5</v>
      </c>
      <c r="I542" s="187">
        <f t="shared" si="40"/>
        <v>0</v>
      </c>
      <c r="J542" s="189">
        <f t="shared" si="41"/>
        <v>100</v>
      </c>
    </row>
    <row r="543" spans="1:10" ht="38.25">
      <c r="A543" s="28" t="str">
        <f>'МП пр.5'!A46</f>
        <v>Основное мероприятие "Организация работы по совершенствованию системы патриотического воспитания жителей"</v>
      </c>
      <c r="B543" s="19" t="s">
        <v>272</v>
      </c>
      <c r="C543" s="20" t="s">
        <v>65</v>
      </c>
      <c r="D543" s="20" t="s">
        <v>65</v>
      </c>
      <c r="E543" s="102" t="str">
        <f>'МП пр.5'!B46</f>
        <v xml:space="preserve">7В 0 01 00000 </v>
      </c>
      <c r="F543" s="97"/>
      <c r="G543" s="187">
        <f t="shared" si="42"/>
        <v>108.5</v>
      </c>
      <c r="H543" s="187">
        <f t="shared" si="42"/>
        <v>108.5</v>
      </c>
      <c r="I543" s="187">
        <f t="shared" si="40"/>
        <v>0</v>
      </c>
      <c r="J543" s="189">
        <f t="shared" si="41"/>
        <v>100</v>
      </c>
    </row>
    <row r="544" spans="1:10">
      <c r="A544" s="28" t="str">
        <f>'МП пр.5'!A47</f>
        <v>Мероприятия патриотической направленности</v>
      </c>
      <c r="B544" s="19" t="s">
        <v>272</v>
      </c>
      <c r="C544" s="20" t="s">
        <v>65</v>
      </c>
      <c r="D544" s="20" t="s">
        <v>65</v>
      </c>
      <c r="E544" s="102" t="str">
        <f>'МП пр.5'!B47</f>
        <v xml:space="preserve">7В 0 01 92400 </v>
      </c>
      <c r="F544" s="97"/>
      <c r="G544" s="187">
        <f t="shared" si="42"/>
        <v>108.5</v>
      </c>
      <c r="H544" s="187">
        <f t="shared" si="42"/>
        <v>108.5</v>
      </c>
      <c r="I544" s="187">
        <f t="shared" si="40"/>
        <v>0</v>
      </c>
      <c r="J544" s="189">
        <f t="shared" si="41"/>
        <v>100</v>
      </c>
    </row>
    <row r="545" spans="1:10" ht="25.5">
      <c r="A545" s="16" t="s">
        <v>93</v>
      </c>
      <c r="B545" s="19" t="s">
        <v>272</v>
      </c>
      <c r="C545" s="20" t="s">
        <v>65</v>
      </c>
      <c r="D545" s="20" t="s">
        <v>65</v>
      </c>
      <c r="E545" s="102" t="s">
        <v>242</v>
      </c>
      <c r="F545" s="97" t="s">
        <v>94</v>
      </c>
      <c r="G545" s="187">
        <f t="shared" si="42"/>
        <v>108.5</v>
      </c>
      <c r="H545" s="187">
        <f t="shared" si="42"/>
        <v>108.5</v>
      </c>
      <c r="I545" s="187">
        <f t="shared" si="40"/>
        <v>0</v>
      </c>
      <c r="J545" s="189">
        <f t="shared" si="41"/>
        <v>100</v>
      </c>
    </row>
    <row r="546" spans="1:10">
      <c r="A546" s="16" t="s">
        <v>97</v>
      </c>
      <c r="B546" s="19" t="s">
        <v>272</v>
      </c>
      <c r="C546" s="20" t="s">
        <v>65</v>
      </c>
      <c r="D546" s="20" t="s">
        <v>65</v>
      </c>
      <c r="E546" s="102" t="s">
        <v>242</v>
      </c>
      <c r="F546" s="97" t="s">
        <v>98</v>
      </c>
      <c r="G546" s="187">
        <f>'МП пр.5'!G55</f>
        <v>108.5</v>
      </c>
      <c r="H546" s="187">
        <f>'МП пр.5'!H55</f>
        <v>108.5</v>
      </c>
      <c r="I546" s="187">
        <f t="shared" si="40"/>
        <v>0</v>
      </c>
      <c r="J546" s="189">
        <f t="shared" si="41"/>
        <v>100</v>
      </c>
    </row>
    <row r="547" spans="1:10" ht="25.5">
      <c r="A547" s="28" t="str">
        <f>'МП пр.5'!A101</f>
        <v>Муниципальная  программа "Одарённые дети  на 2018- 2022 годы"</v>
      </c>
      <c r="B547" s="19" t="s">
        <v>272</v>
      </c>
      <c r="C547" s="20" t="s">
        <v>65</v>
      </c>
      <c r="D547" s="20" t="s">
        <v>65</v>
      </c>
      <c r="E547" s="102" t="str">
        <f>'МП пр.5'!B101</f>
        <v xml:space="preserve">7Д 0 00 00000 </v>
      </c>
      <c r="F547" s="97"/>
      <c r="G547" s="187">
        <f>G548</f>
        <v>423.8</v>
      </c>
      <c r="H547" s="187">
        <f>H548</f>
        <v>423.8</v>
      </c>
      <c r="I547" s="187">
        <f t="shared" si="40"/>
        <v>0</v>
      </c>
      <c r="J547" s="189">
        <f t="shared" si="41"/>
        <v>100</v>
      </c>
    </row>
    <row r="548" spans="1:10" ht="25.5">
      <c r="A548" s="28" t="str">
        <f>'МП пр.5'!A102</f>
        <v>Основное мероприятие "Создание условий для выявления, поддержки и развития одаренных детей"</v>
      </c>
      <c r="B548" s="19" t="s">
        <v>272</v>
      </c>
      <c r="C548" s="20" t="s">
        <v>65</v>
      </c>
      <c r="D548" s="20" t="s">
        <v>65</v>
      </c>
      <c r="E548" s="102" t="str">
        <f>'МП пр.5'!B102</f>
        <v xml:space="preserve">7Д 0 01 00000 </v>
      </c>
      <c r="F548" s="97"/>
      <c r="G548" s="187">
        <f>G549+G554</f>
        <v>423.8</v>
      </c>
      <c r="H548" s="187">
        <f>H549+H554</f>
        <v>423.8</v>
      </c>
      <c r="I548" s="187">
        <f t="shared" si="40"/>
        <v>0</v>
      </c>
      <c r="J548" s="189">
        <f t="shared" si="41"/>
        <v>100</v>
      </c>
    </row>
    <row r="549" spans="1:10">
      <c r="A549" s="28" t="str">
        <f>'МП пр.5'!A103</f>
        <v xml:space="preserve">Осуществление поддержки одаренных детей </v>
      </c>
      <c r="B549" s="19" t="s">
        <v>272</v>
      </c>
      <c r="C549" s="20" t="s">
        <v>65</v>
      </c>
      <c r="D549" s="20" t="s">
        <v>65</v>
      </c>
      <c r="E549" s="102" t="str">
        <f>'МП пр.5'!B103</f>
        <v xml:space="preserve">7Д 0 01 92200 </v>
      </c>
      <c r="F549" s="97"/>
      <c r="G549" s="187">
        <f>G550+G552</f>
        <v>341.8</v>
      </c>
      <c r="H549" s="187">
        <f>H550+H552</f>
        <v>341.8</v>
      </c>
      <c r="I549" s="187">
        <f t="shared" si="40"/>
        <v>0</v>
      </c>
      <c r="J549" s="189">
        <f t="shared" si="41"/>
        <v>100</v>
      </c>
    </row>
    <row r="550" spans="1:10" ht="25.5">
      <c r="A550" s="16" t="s">
        <v>331</v>
      </c>
      <c r="B550" s="19" t="s">
        <v>272</v>
      </c>
      <c r="C550" s="20" t="s">
        <v>65</v>
      </c>
      <c r="D550" s="20" t="s">
        <v>65</v>
      </c>
      <c r="E550" s="102" t="s">
        <v>240</v>
      </c>
      <c r="F550" s="97" t="s">
        <v>92</v>
      </c>
      <c r="G550" s="187">
        <f>G551</f>
        <v>26.3</v>
      </c>
      <c r="H550" s="187">
        <f>H551</f>
        <v>26.3</v>
      </c>
      <c r="I550" s="187">
        <f t="shared" si="40"/>
        <v>0</v>
      </c>
      <c r="J550" s="189">
        <f t="shared" si="41"/>
        <v>100</v>
      </c>
    </row>
    <row r="551" spans="1:10" ht="25.5">
      <c r="A551" s="16" t="s">
        <v>556</v>
      </c>
      <c r="B551" s="19" t="s">
        <v>272</v>
      </c>
      <c r="C551" s="20" t="s">
        <v>65</v>
      </c>
      <c r="D551" s="20" t="s">
        <v>65</v>
      </c>
      <c r="E551" s="102" t="s">
        <v>240</v>
      </c>
      <c r="F551" s="97" t="s">
        <v>89</v>
      </c>
      <c r="G551" s="187">
        <f>'МП пр.5'!G108</f>
        <v>26.3</v>
      </c>
      <c r="H551" s="187">
        <f>'МП пр.5'!H108</f>
        <v>26.3</v>
      </c>
      <c r="I551" s="187">
        <f t="shared" si="40"/>
        <v>0</v>
      </c>
      <c r="J551" s="189">
        <f t="shared" si="41"/>
        <v>100</v>
      </c>
    </row>
    <row r="552" spans="1:10">
      <c r="A552" s="16" t="s">
        <v>99</v>
      </c>
      <c r="B552" s="19" t="s">
        <v>272</v>
      </c>
      <c r="C552" s="20" t="s">
        <v>65</v>
      </c>
      <c r="D552" s="20" t="s">
        <v>65</v>
      </c>
      <c r="E552" s="102" t="s">
        <v>240</v>
      </c>
      <c r="F552" s="97" t="s">
        <v>100</v>
      </c>
      <c r="G552" s="187">
        <f>G553</f>
        <v>315.5</v>
      </c>
      <c r="H552" s="187">
        <f>H553</f>
        <v>315.5</v>
      </c>
      <c r="I552" s="187">
        <f t="shared" si="40"/>
        <v>0</v>
      </c>
      <c r="J552" s="189">
        <f t="shared" si="41"/>
        <v>100</v>
      </c>
    </row>
    <row r="553" spans="1:10">
      <c r="A553" s="16" t="s">
        <v>122</v>
      </c>
      <c r="B553" s="19" t="s">
        <v>272</v>
      </c>
      <c r="C553" s="20" t="s">
        <v>65</v>
      </c>
      <c r="D553" s="20" t="s">
        <v>65</v>
      </c>
      <c r="E553" s="102" t="s">
        <v>240</v>
      </c>
      <c r="F553" s="97" t="s">
        <v>121</v>
      </c>
      <c r="G553" s="187">
        <f>'МП пр.5'!G111</f>
        <v>315.5</v>
      </c>
      <c r="H553" s="187">
        <f>'МП пр.5'!H111</f>
        <v>315.5</v>
      </c>
      <c r="I553" s="187">
        <f t="shared" si="40"/>
        <v>0</v>
      </c>
      <c r="J553" s="189">
        <f t="shared" si="41"/>
        <v>100</v>
      </c>
    </row>
    <row r="554" spans="1:10">
      <c r="A554" s="16" t="str">
        <f>'МП пр.5'!A112</f>
        <v>Проведение слетов, научных конференций, олимпиад</v>
      </c>
      <c r="B554" s="19" t="s">
        <v>272</v>
      </c>
      <c r="C554" s="20" t="s">
        <v>65</v>
      </c>
      <c r="D554" s="20" t="s">
        <v>65</v>
      </c>
      <c r="E554" s="102" t="str">
        <f>'МП пр.5'!B112</f>
        <v>7Д 0 01 92210</v>
      </c>
      <c r="F554" s="97"/>
      <c r="G554" s="187">
        <f>G555</f>
        <v>82</v>
      </c>
      <c r="H554" s="187">
        <f>H555</f>
        <v>82</v>
      </c>
      <c r="I554" s="187">
        <f t="shared" si="40"/>
        <v>0</v>
      </c>
      <c r="J554" s="189">
        <f t="shared" si="41"/>
        <v>100</v>
      </c>
    </row>
    <row r="555" spans="1:10" ht="25.5">
      <c r="A555" s="16" t="s">
        <v>331</v>
      </c>
      <c r="B555" s="19" t="s">
        <v>272</v>
      </c>
      <c r="C555" s="20" t="s">
        <v>65</v>
      </c>
      <c r="D555" s="20" t="s">
        <v>65</v>
      </c>
      <c r="E555" s="102" t="s">
        <v>304</v>
      </c>
      <c r="F555" s="97" t="s">
        <v>92</v>
      </c>
      <c r="G555" s="187">
        <f>G556</f>
        <v>82</v>
      </c>
      <c r="H555" s="187">
        <f>H556</f>
        <v>82</v>
      </c>
      <c r="I555" s="187">
        <f t="shared" si="40"/>
        <v>0</v>
      </c>
      <c r="J555" s="189">
        <f t="shared" si="41"/>
        <v>100</v>
      </c>
    </row>
    <row r="556" spans="1:10" ht="25.5">
      <c r="A556" s="16" t="s">
        <v>556</v>
      </c>
      <c r="B556" s="19" t="s">
        <v>272</v>
      </c>
      <c r="C556" s="20" t="s">
        <v>65</v>
      </c>
      <c r="D556" s="20" t="s">
        <v>65</v>
      </c>
      <c r="E556" s="102" t="s">
        <v>304</v>
      </c>
      <c r="F556" s="97" t="s">
        <v>89</v>
      </c>
      <c r="G556" s="187">
        <f>'МП пр.5'!G117</f>
        <v>82</v>
      </c>
      <c r="H556" s="187">
        <f>'МП пр.5'!H117</f>
        <v>82</v>
      </c>
      <c r="I556" s="187">
        <f t="shared" si="40"/>
        <v>0</v>
      </c>
      <c r="J556" s="189">
        <f t="shared" si="41"/>
        <v>100</v>
      </c>
    </row>
    <row r="557" spans="1:10">
      <c r="A557" s="28" t="str">
        <f>'МП пр.5'!A186</f>
        <v>Муниципальная программа "Лето-детям  на 2018- 2022 годы"</v>
      </c>
      <c r="B557" s="19" t="s">
        <v>272</v>
      </c>
      <c r="C557" s="20" t="s">
        <v>65</v>
      </c>
      <c r="D557" s="20" t="s">
        <v>65</v>
      </c>
      <c r="E557" s="102" t="str">
        <f>'МП пр.5'!B186</f>
        <v xml:space="preserve">7Л 0 00 00000 </v>
      </c>
      <c r="F557" s="97"/>
      <c r="G557" s="187">
        <f>G558+G565</f>
        <v>8875.1</v>
      </c>
      <c r="H557" s="187">
        <f>H558+H565</f>
        <v>8448.7000000000007</v>
      </c>
      <c r="I557" s="187">
        <f t="shared" si="40"/>
        <v>426.39999999999964</v>
      </c>
      <c r="J557" s="189">
        <f t="shared" si="41"/>
        <v>95.195547092427134</v>
      </c>
    </row>
    <row r="558" spans="1:10" ht="25.5">
      <c r="A558" s="28" t="str">
        <f>'МП пр.5'!A187</f>
        <v>Основное мероприятие "Организация и обеспечение отдыха и оздоровления детей и подростков"</v>
      </c>
      <c r="B558" s="19" t="s">
        <v>272</v>
      </c>
      <c r="C558" s="20" t="s">
        <v>65</v>
      </c>
      <c r="D558" s="20" t="s">
        <v>65</v>
      </c>
      <c r="E558" s="102" t="str">
        <f>'МП пр.5'!B187</f>
        <v xml:space="preserve">7Л 0 01 00000 </v>
      </c>
      <c r="F558" s="97"/>
      <c r="G558" s="187">
        <f>G559+G562</f>
        <v>7800.9000000000005</v>
      </c>
      <c r="H558" s="187">
        <f>H559+H562</f>
        <v>7374.6</v>
      </c>
      <c r="I558" s="187">
        <f t="shared" si="40"/>
        <v>426.30000000000018</v>
      </c>
      <c r="J558" s="189">
        <f t="shared" si="41"/>
        <v>94.535245933161562</v>
      </c>
    </row>
    <row r="559" spans="1:10" ht="25.5">
      <c r="A559" s="16" t="str">
        <f>'МП пр.5'!A188</f>
        <v xml:space="preserve">Организация отдыха и оздоровления детей в лагерях дневного пребывания </v>
      </c>
      <c r="B559" s="19" t="s">
        <v>272</v>
      </c>
      <c r="C559" s="20" t="s">
        <v>65</v>
      </c>
      <c r="D559" s="20" t="s">
        <v>65</v>
      </c>
      <c r="E559" s="102" t="str">
        <f>'МП пр.5'!B188</f>
        <v xml:space="preserve">7Л 0 01 73210 </v>
      </c>
      <c r="F559" s="97"/>
      <c r="G559" s="187">
        <f>G560</f>
        <v>4364.6000000000004</v>
      </c>
      <c r="H559" s="187">
        <f>H560</f>
        <v>3972.3</v>
      </c>
      <c r="I559" s="187">
        <f t="shared" si="40"/>
        <v>392.30000000000018</v>
      </c>
      <c r="J559" s="189">
        <f t="shared" si="41"/>
        <v>91.011776566008336</v>
      </c>
    </row>
    <row r="560" spans="1:10" ht="25.5">
      <c r="A560" s="16" t="s">
        <v>93</v>
      </c>
      <c r="B560" s="19" t="s">
        <v>272</v>
      </c>
      <c r="C560" s="20" t="s">
        <v>65</v>
      </c>
      <c r="D560" s="20" t="s">
        <v>65</v>
      </c>
      <c r="E560" s="102" t="s">
        <v>305</v>
      </c>
      <c r="F560" s="97" t="s">
        <v>94</v>
      </c>
      <c r="G560" s="187">
        <f>G561</f>
        <v>4364.6000000000004</v>
      </c>
      <c r="H560" s="187">
        <f>H561</f>
        <v>3972.3</v>
      </c>
      <c r="I560" s="187">
        <f t="shared" si="40"/>
        <v>392.30000000000018</v>
      </c>
      <c r="J560" s="189">
        <f t="shared" si="41"/>
        <v>91.011776566008336</v>
      </c>
    </row>
    <row r="561" spans="1:10">
      <c r="A561" s="16" t="s">
        <v>97</v>
      </c>
      <c r="B561" s="19" t="s">
        <v>272</v>
      </c>
      <c r="C561" s="20" t="s">
        <v>65</v>
      </c>
      <c r="D561" s="20" t="s">
        <v>65</v>
      </c>
      <c r="E561" s="102" t="s">
        <v>305</v>
      </c>
      <c r="F561" s="97" t="s">
        <v>98</v>
      </c>
      <c r="G561" s="187">
        <f>'МП пр.5'!G193</f>
        <v>4364.6000000000004</v>
      </c>
      <c r="H561" s="187">
        <f>'МП пр.5'!H193</f>
        <v>3972.3</v>
      </c>
      <c r="I561" s="187">
        <f t="shared" si="40"/>
        <v>392.30000000000018</v>
      </c>
      <c r="J561" s="189">
        <f t="shared" si="41"/>
        <v>91.011776566008336</v>
      </c>
    </row>
    <row r="562" spans="1:10" s="58" customFormat="1" ht="25.5">
      <c r="A562" s="16" t="str">
        <f>'МП пр.5'!A194</f>
        <v>Организация отдыха и оздоровления детей в лагерях дневного пребывания  за счет средств местного бюджета</v>
      </c>
      <c r="B562" s="19" t="s">
        <v>272</v>
      </c>
      <c r="C562" s="20" t="s">
        <v>65</v>
      </c>
      <c r="D562" s="20" t="s">
        <v>65</v>
      </c>
      <c r="E562" s="102" t="str">
        <f>'МП пр.5'!B194</f>
        <v xml:space="preserve">7Л 0 01 S3210 </v>
      </c>
      <c r="F562" s="97"/>
      <c r="G562" s="187">
        <f>G563</f>
        <v>3436.3</v>
      </c>
      <c r="H562" s="187">
        <f>H563</f>
        <v>3402.3</v>
      </c>
      <c r="I562" s="187">
        <f t="shared" si="40"/>
        <v>34</v>
      </c>
      <c r="J562" s="189">
        <f t="shared" si="41"/>
        <v>99.010563687687338</v>
      </c>
    </row>
    <row r="563" spans="1:10" ht="25.5">
      <c r="A563" s="16" t="s">
        <v>93</v>
      </c>
      <c r="B563" s="19" t="s">
        <v>272</v>
      </c>
      <c r="C563" s="20" t="s">
        <v>65</v>
      </c>
      <c r="D563" s="20" t="s">
        <v>65</v>
      </c>
      <c r="E563" s="102" t="s">
        <v>306</v>
      </c>
      <c r="F563" s="97" t="s">
        <v>94</v>
      </c>
      <c r="G563" s="187">
        <f>G564</f>
        <v>3436.3</v>
      </c>
      <c r="H563" s="187">
        <f>H564</f>
        <v>3402.3</v>
      </c>
      <c r="I563" s="187">
        <f t="shared" si="40"/>
        <v>34</v>
      </c>
      <c r="J563" s="189">
        <f t="shared" si="41"/>
        <v>99.010563687687338</v>
      </c>
    </row>
    <row r="564" spans="1:10">
      <c r="A564" s="16" t="s">
        <v>97</v>
      </c>
      <c r="B564" s="19" t="s">
        <v>272</v>
      </c>
      <c r="C564" s="20" t="s">
        <v>65</v>
      </c>
      <c r="D564" s="20" t="s">
        <v>65</v>
      </c>
      <c r="E564" s="102" t="s">
        <v>306</v>
      </c>
      <c r="F564" s="97" t="s">
        <v>98</v>
      </c>
      <c r="G564" s="187">
        <f>'МП пр.5'!G199</f>
        <v>3436.3</v>
      </c>
      <c r="H564" s="187">
        <f>'МП пр.5'!H199</f>
        <v>3402.3</v>
      </c>
      <c r="I564" s="187">
        <f t="shared" si="40"/>
        <v>34</v>
      </c>
      <c r="J564" s="189">
        <f t="shared" si="41"/>
        <v>99.010563687687338</v>
      </c>
    </row>
    <row r="565" spans="1:10" ht="38.25">
      <c r="A565" s="16" t="str">
        <f>'МП пр.5'!A200</f>
        <v>Основное мероприятие "Создание временных дополнительных рабочих мест для трудоустройства несовершеннолетних в летний период"</v>
      </c>
      <c r="B565" s="19" t="s">
        <v>272</v>
      </c>
      <c r="C565" s="20" t="s">
        <v>65</v>
      </c>
      <c r="D565" s="20" t="s">
        <v>65</v>
      </c>
      <c r="E565" s="102" t="str">
        <f>'МП пр.5'!B200</f>
        <v xml:space="preserve">7Л 0 02 00000 </v>
      </c>
      <c r="F565" s="97"/>
      <c r="G565" s="187">
        <f t="shared" ref="G565:H567" si="43">G566</f>
        <v>1074.2</v>
      </c>
      <c r="H565" s="187">
        <f t="shared" si="43"/>
        <v>1074.0999999999999</v>
      </c>
      <c r="I565" s="187">
        <f t="shared" si="40"/>
        <v>0.10000000000013642</v>
      </c>
      <c r="J565" s="189">
        <f t="shared" si="41"/>
        <v>99.990690746602112</v>
      </c>
    </row>
    <row r="566" spans="1:10" ht="25.5">
      <c r="A566" s="16" t="str">
        <f>'МП пр.5'!A201</f>
        <v>Расходы на выплаты по оплате труда несовершеннолетних граждан</v>
      </c>
      <c r="B566" s="19" t="s">
        <v>272</v>
      </c>
      <c r="C566" s="20" t="s">
        <v>65</v>
      </c>
      <c r="D566" s="20" t="s">
        <v>65</v>
      </c>
      <c r="E566" s="102" t="str">
        <f>'МП пр.5'!B201</f>
        <v xml:space="preserve">7Л 0 02 92300 </v>
      </c>
      <c r="F566" s="97"/>
      <c r="G566" s="187">
        <f t="shared" si="43"/>
        <v>1074.2</v>
      </c>
      <c r="H566" s="187">
        <f t="shared" si="43"/>
        <v>1074.0999999999999</v>
      </c>
      <c r="I566" s="187">
        <f t="shared" si="40"/>
        <v>0.10000000000013642</v>
      </c>
      <c r="J566" s="189">
        <f t="shared" si="41"/>
        <v>99.990690746602112</v>
      </c>
    </row>
    <row r="567" spans="1:10" ht="25.5">
      <c r="A567" s="16" t="s">
        <v>93</v>
      </c>
      <c r="B567" s="19" t="s">
        <v>272</v>
      </c>
      <c r="C567" s="20" t="s">
        <v>65</v>
      </c>
      <c r="D567" s="20" t="s">
        <v>65</v>
      </c>
      <c r="E567" s="102" t="str">
        <f>'МП пр.5'!B202</f>
        <v xml:space="preserve">7Л 0 02 92300 </v>
      </c>
      <c r="F567" s="97" t="s">
        <v>94</v>
      </c>
      <c r="G567" s="187">
        <f t="shared" si="43"/>
        <v>1074.2</v>
      </c>
      <c r="H567" s="187">
        <f t="shared" si="43"/>
        <v>1074.0999999999999</v>
      </c>
      <c r="I567" s="187">
        <f t="shared" si="40"/>
        <v>0.10000000000013642</v>
      </c>
      <c r="J567" s="189">
        <f t="shared" si="41"/>
        <v>99.990690746602112</v>
      </c>
    </row>
    <row r="568" spans="1:10">
      <c r="A568" s="16" t="s">
        <v>97</v>
      </c>
      <c r="B568" s="19" t="s">
        <v>272</v>
      </c>
      <c r="C568" s="20" t="s">
        <v>65</v>
      </c>
      <c r="D568" s="20" t="s">
        <v>65</v>
      </c>
      <c r="E568" s="102" t="str">
        <f>'МП пр.5'!B203</f>
        <v xml:space="preserve">7Л 0 02 92300 </v>
      </c>
      <c r="F568" s="97" t="s">
        <v>98</v>
      </c>
      <c r="G568" s="187">
        <f>'МП пр.5'!G206</f>
        <v>1074.2</v>
      </c>
      <c r="H568" s="187">
        <f>'МП пр.5'!H206</f>
        <v>1074.0999999999999</v>
      </c>
      <c r="I568" s="187">
        <f t="shared" si="40"/>
        <v>0.10000000000013642</v>
      </c>
      <c r="J568" s="189">
        <f t="shared" si="41"/>
        <v>99.990690746602112</v>
      </c>
    </row>
    <row r="569" spans="1:10" ht="38.25">
      <c r="A569" s="28" t="str">
        <f>'МП пр.5'!A522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569" s="19" t="s">
        <v>272</v>
      </c>
      <c r="C569" s="20" t="s">
        <v>65</v>
      </c>
      <c r="D569" s="20" t="s">
        <v>65</v>
      </c>
      <c r="E569" s="102" t="str">
        <f>'МП пр.5'!B522</f>
        <v xml:space="preserve">7Т 0 00 00000 </v>
      </c>
      <c r="F569" s="97"/>
      <c r="G569" s="187">
        <f t="shared" ref="G569:H572" si="44">G570</f>
        <v>170.3</v>
      </c>
      <c r="H569" s="187">
        <f t="shared" si="44"/>
        <v>170.3</v>
      </c>
      <c r="I569" s="187">
        <f t="shared" si="40"/>
        <v>0</v>
      </c>
      <c r="J569" s="189">
        <f t="shared" si="41"/>
        <v>100</v>
      </c>
    </row>
    <row r="570" spans="1:10" ht="25.5">
      <c r="A570" s="16" t="str">
        <f>'МП пр.5'!A549</f>
        <v>Основное мероприятие "Профилактика  правонарушений среди несовершеннолетних и молодежи"</v>
      </c>
      <c r="B570" s="19" t="s">
        <v>272</v>
      </c>
      <c r="C570" s="20" t="s">
        <v>65</v>
      </c>
      <c r="D570" s="20" t="s">
        <v>65</v>
      </c>
      <c r="E570" s="102" t="str">
        <f>'МП пр.5'!B549</f>
        <v xml:space="preserve">7Т 0 07 00000 </v>
      </c>
      <c r="F570" s="97"/>
      <c r="G570" s="187">
        <f t="shared" si="44"/>
        <v>170.3</v>
      </c>
      <c r="H570" s="187">
        <f t="shared" si="44"/>
        <v>170.3</v>
      </c>
      <c r="I570" s="187">
        <f t="shared" si="40"/>
        <v>0</v>
      </c>
      <c r="J570" s="189">
        <f t="shared" si="41"/>
        <v>100</v>
      </c>
    </row>
    <row r="571" spans="1:10" ht="25.5">
      <c r="A571" s="28" t="str">
        <f>'МП пр.5'!A550</f>
        <v>Профилактика безнадзорности, правонарушений и вредных привычек несовершеннолетних</v>
      </c>
      <c r="B571" s="19" t="s">
        <v>272</v>
      </c>
      <c r="C571" s="20" t="s">
        <v>65</v>
      </c>
      <c r="D571" s="20" t="s">
        <v>65</v>
      </c>
      <c r="E571" s="102" t="str">
        <f>'МП пр.5'!B550</f>
        <v xml:space="preserve">7Т 0 07 93810 </v>
      </c>
      <c r="F571" s="97"/>
      <c r="G571" s="187">
        <f t="shared" si="44"/>
        <v>170.3</v>
      </c>
      <c r="H571" s="187">
        <f t="shared" si="44"/>
        <v>170.3</v>
      </c>
      <c r="I571" s="187">
        <f t="shared" si="40"/>
        <v>0</v>
      </c>
      <c r="J571" s="189">
        <f t="shared" si="41"/>
        <v>100</v>
      </c>
    </row>
    <row r="572" spans="1:10" ht="25.5">
      <c r="A572" s="16" t="s">
        <v>93</v>
      </c>
      <c r="B572" s="19" t="s">
        <v>272</v>
      </c>
      <c r="C572" s="20" t="s">
        <v>65</v>
      </c>
      <c r="D572" s="20" t="s">
        <v>65</v>
      </c>
      <c r="E572" s="102" t="s">
        <v>344</v>
      </c>
      <c r="F572" s="97" t="s">
        <v>94</v>
      </c>
      <c r="G572" s="187">
        <f t="shared" si="44"/>
        <v>170.3</v>
      </c>
      <c r="H572" s="187">
        <f t="shared" si="44"/>
        <v>170.3</v>
      </c>
      <c r="I572" s="187">
        <f t="shared" si="40"/>
        <v>0</v>
      </c>
      <c r="J572" s="189">
        <f t="shared" si="41"/>
        <v>100</v>
      </c>
    </row>
    <row r="573" spans="1:10">
      <c r="A573" s="16" t="s">
        <v>97</v>
      </c>
      <c r="B573" s="19" t="s">
        <v>272</v>
      </c>
      <c r="C573" s="20" t="s">
        <v>65</v>
      </c>
      <c r="D573" s="20" t="s">
        <v>65</v>
      </c>
      <c r="E573" s="102" t="s">
        <v>344</v>
      </c>
      <c r="F573" s="97" t="s">
        <v>98</v>
      </c>
      <c r="G573" s="187">
        <f>'МП пр.5'!G555</f>
        <v>170.3</v>
      </c>
      <c r="H573" s="187">
        <f>'МП пр.5'!H555</f>
        <v>170.3</v>
      </c>
      <c r="I573" s="187">
        <f t="shared" si="40"/>
        <v>0</v>
      </c>
      <c r="J573" s="189">
        <f t="shared" si="41"/>
        <v>100</v>
      </c>
    </row>
    <row r="574" spans="1:10">
      <c r="A574" s="15" t="s">
        <v>10</v>
      </c>
      <c r="B574" s="35" t="s">
        <v>272</v>
      </c>
      <c r="C574" s="31" t="s">
        <v>65</v>
      </c>
      <c r="D574" s="31" t="s">
        <v>71</v>
      </c>
      <c r="E574" s="100"/>
      <c r="F574" s="100"/>
      <c r="G574" s="185">
        <f>G576+G585+G604+G618</f>
        <v>42997.7</v>
      </c>
      <c r="H574" s="185">
        <f>H576+H585+H604+H618</f>
        <v>42924.5</v>
      </c>
      <c r="I574" s="187">
        <f t="shared" si="40"/>
        <v>73.19999999999709</v>
      </c>
      <c r="J574" s="189">
        <f t="shared" si="41"/>
        <v>99.829758335910995</v>
      </c>
    </row>
    <row r="575" spans="1:10">
      <c r="A575" s="16" t="s">
        <v>430</v>
      </c>
      <c r="B575" s="19" t="s">
        <v>272</v>
      </c>
      <c r="C575" s="20" t="s">
        <v>65</v>
      </c>
      <c r="D575" s="20" t="s">
        <v>71</v>
      </c>
      <c r="E575" s="102" t="s">
        <v>431</v>
      </c>
      <c r="F575" s="97"/>
      <c r="G575" s="187">
        <f>G576</f>
        <v>117</v>
      </c>
      <c r="H575" s="187">
        <f>H576</f>
        <v>117</v>
      </c>
      <c r="I575" s="187">
        <f t="shared" si="40"/>
        <v>0</v>
      </c>
      <c r="J575" s="189">
        <f t="shared" si="41"/>
        <v>100</v>
      </c>
    </row>
    <row r="576" spans="1:10" ht="25.5">
      <c r="A576" s="28" t="str">
        <f>'МП пр.5'!A384</f>
        <v>Муниципальная  программа  "Развитие образования в Сусуманском городском округе  на 2018- 2022 годы"</v>
      </c>
      <c r="B576" s="19" t="s">
        <v>272</v>
      </c>
      <c r="C576" s="20" t="s">
        <v>65</v>
      </c>
      <c r="D576" s="20" t="s">
        <v>71</v>
      </c>
      <c r="E576" s="102" t="str">
        <f>'МП пр.5'!B384</f>
        <v xml:space="preserve">7Р 0 00 00000 </v>
      </c>
      <c r="F576" s="97"/>
      <c r="G576" s="187">
        <f>G577+G581</f>
        <v>117</v>
      </c>
      <c r="H576" s="187">
        <f>H577+H581</f>
        <v>117</v>
      </c>
      <c r="I576" s="187">
        <f t="shared" si="40"/>
        <v>0</v>
      </c>
      <c r="J576" s="189">
        <f t="shared" si="41"/>
        <v>100</v>
      </c>
    </row>
    <row r="577" spans="1:10">
      <c r="A577" s="28" t="str">
        <f>'МП пр.5'!A385</f>
        <v>Основное мероприятие "Модернизация системы образования"</v>
      </c>
      <c r="B577" s="19" t="s">
        <v>272</v>
      </c>
      <c r="C577" s="20" t="s">
        <v>65</v>
      </c>
      <c r="D577" s="20" t="s">
        <v>71</v>
      </c>
      <c r="E577" s="102" t="str">
        <f>'МП пр.5'!B385</f>
        <v xml:space="preserve">7Р 0 01 00000 </v>
      </c>
      <c r="F577" s="97"/>
      <c r="G577" s="187">
        <f t="shared" ref="G577:H579" si="45">G578</f>
        <v>25</v>
      </c>
      <c r="H577" s="187">
        <f t="shared" si="45"/>
        <v>25</v>
      </c>
      <c r="I577" s="187">
        <f t="shared" si="40"/>
        <v>0</v>
      </c>
      <c r="J577" s="189">
        <f t="shared" si="41"/>
        <v>100</v>
      </c>
    </row>
    <row r="578" spans="1:10" ht="38.25">
      <c r="A578" s="28" t="str">
        <f>'МП пр.5'!A386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78" s="19" t="s">
        <v>272</v>
      </c>
      <c r="C578" s="20" t="s">
        <v>65</v>
      </c>
      <c r="D578" s="20" t="s">
        <v>71</v>
      </c>
      <c r="E578" s="102" t="str">
        <f>'МП пр.5'!B386</f>
        <v xml:space="preserve">7Р 0 01 92100 </v>
      </c>
      <c r="F578" s="97"/>
      <c r="G578" s="187">
        <f t="shared" si="45"/>
        <v>25</v>
      </c>
      <c r="H578" s="187">
        <f t="shared" si="45"/>
        <v>25</v>
      </c>
      <c r="I578" s="187">
        <f t="shared" si="40"/>
        <v>0</v>
      </c>
      <c r="J578" s="189">
        <f t="shared" si="41"/>
        <v>100</v>
      </c>
    </row>
    <row r="579" spans="1:10" ht="25.5">
      <c r="A579" s="16" t="s">
        <v>331</v>
      </c>
      <c r="B579" s="19" t="s">
        <v>272</v>
      </c>
      <c r="C579" s="20" t="s">
        <v>65</v>
      </c>
      <c r="D579" s="20" t="s">
        <v>71</v>
      </c>
      <c r="E579" s="102" t="s">
        <v>246</v>
      </c>
      <c r="F579" s="97" t="s">
        <v>92</v>
      </c>
      <c r="G579" s="187">
        <f t="shared" si="45"/>
        <v>25</v>
      </c>
      <c r="H579" s="187">
        <f t="shared" si="45"/>
        <v>25</v>
      </c>
      <c r="I579" s="187">
        <f t="shared" si="40"/>
        <v>0</v>
      </c>
      <c r="J579" s="189">
        <f t="shared" si="41"/>
        <v>100</v>
      </c>
    </row>
    <row r="580" spans="1:10" ht="25.5">
      <c r="A580" s="16" t="s">
        <v>556</v>
      </c>
      <c r="B580" s="19" t="s">
        <v>272</v>
      </c>
      <c r="C580" s="20" t="s">
        <v>65</v>
      </c>
      <c r="D580" s="20" t="s">
        <v>71</v>
      </c>
      <c r="E580" s="102" t="s">
        <v>246</v>
      </c>
      <c r="F580" s="97" t="s">
        <v>89</v>
      </c>
      <c r="G580" s="187">
        <f>'МП пр.5'!G391</f>
        <v>25</v>
      </c>
      <c r="H580" s="187">
        <f>'МП пр.5'!H391</f>
        <v>25</v>
      </c>
      <c r="I580" s="187">
        <f t="shared" si="40"/>
        <v>0</v>
      </c>
      <c r="J580" s="189">
        <f t="shared" si="41"/>
        <v>100</v>
      </c>
    </row>
    <row r="581" spans="1:10">
      <c r="A581" s="16" t="str">
        <f>'МП пр.5'!A515</f>
        <v>Основное мероприятие "Развитие кадрового потенциала"</v>
      </c>
      <c r="B581" s="19" t="s">
        <v>272</v>
      </c>
      <c r="C581" s="20" t="s">
        <v>65</v>
      </c>
      <c r="D581" s="20" t="s">
        <v>71</v>
      </c>
      <c r="E581" s="102" t="str">
        <f>'МП пр.5'!B515</f>
        <v>7Р 0 06 00000</v>
      </c>
      <c r="F581" s="97"/>
      <c r="G581" s="187">
        <f t="shared" ref="G581:H583" si="46">G582</f>
        <v>92</v>
      </c>
      <c r="H581" s="187">
        <f t="shared" si="46"/>
        <v>92</v>
      </c>
      <c r="I581" s="187">
        <f t="shared" si="40"/>
        <v>0</v>
      </c>
      <c r="J581" s="189">
        <f t="shared" si="41"/>
        <v>100</v>
      </c>
    </row>
    <row r="582" spans="1:10" ht="25.5">
      <c r="A582" s="16" t="str">
        <f>'МП пр.5'!A516</f>
        <v>Развитие творческого и профессионального потенциала педагогических работников образовательных учреждений</v>
      </c>
      <c r="B582" s="19" t="s">
        <v>272</v>
      </c>
      <c r="C582" s="20" t="s">
        <v>65</v>
      </c>
      <c r="D582" s="20" t="s">
        <v>71</v>
      </c>
      <c r="E582" s="102" t="str">
        <f>'МП пр.5'!B516</f>
        <v>7Р 0 06 91510</v>
      </c>
      <c r="F582" s="97"/>
      <c r="G582" s="187">
        <f t="shared" si="46"/>
        <v>92</v>
      </c>
      <c r="H582" s="187">
        <f t="shared" si="46"/>
        <v>92</v>
      </c>
      <c r="I582" s="187">
        <f t="shared" si="40"/>
        <v>0</v>
      </c>
      <c r="J582" s="189">
        <f t="shared" si="41"/>
        <v>100</v>
      </c>
    </row>
    <row r="583" spans="1:10">
      <c r="A583" s="16" t="s">
        <v>99</v>
      </c>
      <c r="B583" s="19" t="s">
        <v>272</v>
      </c>
      <c r="C583" s="20" t="s">
        <v>65</v>
      </c>
      <c r="D583" s="20" t="s">
        <v>71</v>
      </c>
      <c r="E583" s="102" t="str">
        <f>'МП пр.5'!B517</f>
        <v>7Р 0 06 91510</v>
      </c>
      <c r="F583" s="97" t="s">
        <v>100</v>
      </c>
      <c r="G583" s="187">
        <f t="shared" si="46"/>
        <v>92</v>
      </c>
      <c r="H583" s="187">
        <f t="shared" si="46"/>
        <v>92</v>
      </c>
      <c r="I583" s="187">
        <f t="shared" si="40"/>
        <v>0</v>
      </c>
      <c r="J583" s="189">
        <f t="shared" si="41"/>
        <v>100</v>
      </c>
    </row>
    <row r="584" spans="1:10">
      <c r="A584" s="16" t="s">
        <v>124</v>
      </c>
      <c r="B584" s="19" t="s">
        <v>272</v>
      </c>
      <c r="C584" s="20" t="s">
        <v>65</v>
      </c>
      <c r="D584" s="20" t="s">
        <v>71</v>
      </c>
      <c r="E584" s="102" t="str">
        <f>'МП пр.5'!B518</f>
        <v>7Р 0 06 91510</v>
      </c>
      <c r="F584" s="97" t="s">
        <v>123</v>
      </c>
      <c r="G584" s="187">
        <f>'МП пр.5'!G521</f>
        <v>92</v>
      </c>
      <c r="H584" s="187">
        <f>'МП пр.5'!H521</f>
        <v>92</v>
      </c>
      <c r="I584" s="187">
        <f t="shared" si="40"/>
        <v>0</v>
      </c>
      <c r="J584" s="189">
        <f t="shared" si="41"/>
        <v>100</v>
      </c>
    </row>
    <row r="585" spans="1:10" ht="38.25">
      <c r="A585" s="16" t="s">
        <v>275</v>
      </c>
      <c r="B585" s="19" t="s">
        <v>272</v>
      </c>
      <c r="C585" s="20" t="s">
        <v>65</v>
      </c>
      <c r="D585" s="20" t="s">
        <v>71</v>
      </c>
      <c r="E585" s="97" t="s">
        <v>173</v>
      </c>
      <c r="F585" s="97"/>
      <c r="G585" s="187">
        <f>G586</f>
        <v>10172.5</v>
      </c>
      <c r="H585" s="187">
        <f>H586</f>
        <v>10143.700000000001</v>
      </c>
      <c r="I585" s="187">
        <f t="shared" si="40"/>
        <v>28.799999999999272</v>
      </c>
      <c r="J585" s="189">
        <f t="shared" si="41"/>
        <v>99.716883755222412</v>
      </c>
    </row>
    <row r="586" spans="1:10">
      <c r="A586" s="16" t="s">
        <v>46</v>
      </c>
      <c r="B586" s="19" t="s">
        <v>272</v>
      </c>
      <c r="C586" s="20" t="s">
        <v>65</v>
      </c>
      <c r="D586" s="20" t="s">
        <v>71</v>
      </c>
      <c r="E586" s="97" t="s">
        <v>179</v>
      </c>
      <c r="F586" s="97"/>
      <c r="G586" s="187">
        <f>G587+G593+G598+G601+G590</f>
        <v>10172.5</v>
      </c>
      <c r="H586" s="187">
        <f>H587+H593+H598+H601+H590</f>
        <v>10143.700000000001</v>
      </c>
      <c r="I586" s="187">
        <f t="shared" si="40"/>
        <v>28.799999999999272</v>
      </c>
      <c r="J586" s="189">
        <f t="shared" si="41"/>
        <v>99.716883755222412</v>
      </c>
    </row>
    <row r="587" spans="1:10" ht="25.5">
      <c r="A587" s="16" t="s">
        <v>175</v>
      </c>
      <c r="B587" s="19" t="s">
        <v>272</v>
      </c>
      <c r="C587" s="20" t="s">
        <v>65</v>
      </c>
      <c r="D587" s="20" t="s">
        <v>71</v>
      </c>
      <c r="E587" s="97" t="s">
        <v>180</v>
      </c>
      <c r="F587" s="97"/>
      <c r="G587" s="187">
        <f>G588</f>
        <v>9530.7999999999993</v>
      </c>
      <c r="H587" s="187">
        <f>H588</f>
        <v>9530</v>
      </c>
      <c r="I587" s="187">
        <f t="shared" si="40"/>
        <v>0.7999999999992724</v>
      </c>
      <c r="J587" s="189">
        <f t="shared" si="41"/>
        <v>99.991606161077769</v>
      </c>
    </row>
    <row r="588" spans="1:10" ht="51">
      <c r="A588" s="16" t="s">
        <v>90</v>
      </c>
      <c r="B588" s="19" t="s">
        <v>272</v>
      </c>
      <c r="C588" s="20" t="s">
        <v>65</v>
      </c>
      <c r="D588" s="20" t="s">
        <v>71</v>
      </c>
      <c r="E588" s="97" t="s">
        <v>180</v>
      </c>
      <c r="F588" s="97" t="s">
        <v>91</v>
      </c>
      <c r="G588" s="187">
        <f>G589</f>
        <v>9530.7999999999993</v>
      </c>
      <c r="H588" s="187">
        <f>H589</f>
        <v>9530</v>
      </c>
      <c r="I588" s="187">
        <f t="shared" si="40"/>
        <v>0.7999999999992724</v>
      </c>
      <c r="J588" s="189">
        <f t="shared" si="41"/>
        <v>99.991606161077769</v>
      </c>
    </row>
    <row r="589" spans="1:10" ht="25.5">
      <c r="A589" s="16" t="s">
        <v>87</v>
      </c>
      <c r="B589" s="19" t="s">
        <v>272</v>
      </c>
      <c r="C589" s="20" t="s">
        <v>65</v>
      </c>
      <c r="D589" s="20" t="s">
        <v>71</v>
      </c>
      <c r="E589" s="97" t="s">
        <v>180</v>
      </c>
      <c r="F589" s="97" t="s">
        <v>88</v>
      </c>
      <c r="G589" s="187">
        <f>8933.8+597</f>
        <v>9530.7999999999993</v>
      </c>
      <c r="H589" s="187">
        <v>9530</v>
      </c>
      <c r="I589" s="187">
        <f t="shared" si="40"/>
        <v>0.7999999999992724</v>
      </c>
      <c r="J589" s="189">
        <f t="shared" si="41"/>
        <v>99.991606161077769</v>
      </c>
    </row>
    <row r="590" spans="1:10" ht="38.25">
      <c r="A590" s="161" t="s">
        <v>687</v>
      </c>
      <c r="B590" s="20" t="s">
        <v>272</v>
      </c>
      <c r="C590" s="20" t="s">
        <v>65</v>
      </c>
      <c r="D590" s="20" t="s">
        <v>71</v>
      </c>
      <c r="E590" s="97" t="s">
        <v>688</v>
      </c>
      <c r="F590" s="97"/>
      <c r="G590" s="187">
        <f>G591</f>
        <v>227</v>
      </c>
      <c r="H590" s="187">
        <f>H591</f>
        <v>227</v>
      </c>
      <c r="I590" s="187">
        <f t="shared" si="40"/>
        <v>0</v>
      </c>
      <c r="J590" s="189">
        <f t="shared" si="41"/>
        <v>100</v>
      </c>
    </row>
    <row r="591" spans="1:10" ht="51">
      <c r="A591" s="16" t="s">
        <v>90</v>
      </c>
      <c r="B591" s="20" t="s">
        <v>272</v>
      </c>
      <c r="C591" s="20" t="s">
        <v>65</v>
      </c>
      <c r="D591" s="20" t="s">
        <v>71</v>
      </c>
      <c r="E591" s="97" t="s">
        <v>688</v>
      </c>
      <c r="F591" s="97" t="s">
        <v>91</v>
      </c>
      <c r="G591" s="187">
        <f>G592</f>
        <v>227</v>
      </c>
      <c r="H591" s="187">
        <f>H592</f>
        <v>227</v>
      </c>
      <c r="I591" s="187">
        <f t="shared" ref="I591:I654" si="47">G591-H591</f>
        <v>0</v>
      </c>
      <c r="J591" s="189">
        <f t="shared" ref="J591:J654" si="48">H591/G591*100</f>
        <v>100</v>
      </c>
    </row>
    <row r="592" spans="1:10" ht="25.5">
      <c r="A592" s="16" t="s">
        <v>87</v>
      </c>
      <c r="B592" s="20" t="s">
        <v>272</v>
      </c>
      <c r="C592" s="20" t="s">
        <v>65</v>
      </c>
      <c r="D592" s="20" t="s">
        <v>71</v>
      </c>
      <c r="E592" s="97" t="s">
        <v>688</v>
      </c>
      <c r="F592" s="97" t="s">
        <v>88</v>
      </c>
      <c r="G592" s="187">
        <f>180+47</f>
        <v>227</v>
      </c>
      <c r="H592" s="187">
        <f>199.5+27.5</f>
        <v>227</v>
      </c>
      <c r="I592" s="187">
        <f t="shared" si="47"/>
        <v>0</v>
      </c>
      <c r="J592" s="189">
        <f t="shared" si="48"/>
        <v>100</v>
      </c>
    </row>
    <row r="593" spans="1:10">
      <c r="A593" s="16" t="s">
        <v>176</v>
      </c>
      <c r="B593" s="19" t="s">
        <v>272</v>
      </c>
      <c r="C593" s="20" t="s">
        <v>65</v>
      </c>
      <c r="D593" s="20" t="s">
        <v>71</v>
      </c>
      <c r="E593" s="97" t="s">
        <v>181</v>
      </c>
      <c r="F593" s="97"/>
      <c r="G593" s="187">
        <f>G594+G596</f>
        <v>274.70000000000005</v>
      </c>
      <c r="H593" s="187">
        <f>H594+H596</f>
        <v>247.20000000000002</v>
      </c>
      <c r="I593" s="187">
        <f t="shared" si="47"/>
        <v>27.500000000000028</v>
      </c>
      <c r="J593" s="189">
        <f t="shared" si="48"/>
        <v>89.989078995267562</v>
      </c>
    </row>
    <row r="594" spans="1:10" ht="25.5">
      <c r="A594" s="16" t="s">
        <v>331</v>
      </c>
      <c r="B594" s="19" t="s">
        <v>272</v>
      </c>
      <c r="C594" s="20" t="s">
        <v>65</v>
      </c>
      <c r="D594" s="20" t="s">
        <v>71</v>
      </c>
      <c r="E594" s="97" t="s">
        <v>181</v>
      </c>
      <c r="F594" s="97" t="s">
        <v>92</v>
      </c>
      <c r="G594" s="187">
        <f>G595</f>
        <v>273.70000000000005</v>
      </c>
      <c r="H594" s="187">
        <f>H595</f>
        <v>246.4</v>
      </c>
      <c r="I594" s="187">
        <f t="shared" si="47"/>
        <v>27.30000000000004</v>
      </c>
      <c r="J594" s="189">
        <f t="shared" si="48"/>
        <v>90.025575447570318</v>
      </c>
    </row>
    <row r="595" spans="1:10" ht="25.5">
      <c r="A595" s="16" t="s">
        <v>556</v>
      </c>
      <c r="B595" s="19" t="s">
        <v>272</v>
      </c>
      <c r="C595" s="20" t="s">
        <v>65</v>
      </c>
      <c r="D595" s="20" t="s">
        <v>71</v>
      </c>
      <c r="E595" s="97" t="s">
        <v>181</v>
      </c>
      <c r="F595" s="97" t="s">
        <v>89</v>
      </c>
      <c r="G595" s="187">
        <f>298.1-24.4</f>
        <v>273.70000000000005</v>
      </c>
      <c r="H595" s="187">
        <v>246.4</v>
      </c>
      <c r="I595" s="187">
        <f t="shared" si="47"/>
        <v>27.30000000000004</v>
      </c>
      <c r="J595" s="189">
        <f t="shared" si="48"/>
        <v>90.025575447570318</v>
      </c>
    </row>
    <row r="596" spans="1:10">
      <c r="A596" s="16" t="s">
        <v>108</v>
      </c>
      <c r="B596" s="19" t="s">
        <v>272</v>
      </c>
      <c r="C596" s="20" t="s">
        <v>65</v>
      </c>
      <c r="D596" s="20" t="s">
        <v>71</v>
      </c>
      <c r="E596" s="97" t="s">
        <v>181</v>
      </c>
      <c r="F596" s="97" t="s">
        <v>109</v>
      </c>
      <c r="G596" s="187">
        <f>G597</f>
        <v>1</v>
      </c>
      <c r="H596" s="187">
        <f>H597</f>
        <v>0.8</v>
      </c>
      <c r="I596" s="187">
        <f t="shared" si="47"/>
        <v>0.19999999999999996</v>
      </c>
      <c r="J596" s="189">
        <f t="shared" si="48"/>
        <v>80</v>
      </c>
    </row>
    <row r="597" spans="1:10">
      <c r="A597" s="16" t="s">
        <v>111</v>
      </c>
      <c r="B597" s="19" t="s">
        <v>272</v>
      </c>
      <c r="C597" s="20" t="s">
        <v>65</v>
      </c>
      <c r="D597" s="20" t="s">
        <v>71</v>
      </c>
      <c r="E597" s="97" t="s">
        <v>181</v>
      </c>
      <c r="F597" s="97" t="s">
        <v>112</v>
      </c>
      <c r="G597" s="187">
        <f>2-1</f>
        <v>1</v>
      </c>
      <c r="H597" s="187">
        <v>0.8</v>
      </c>
      <c r="I597" s="187">
        <f t="shared" si="47"/>
        <v>0.19999999999999996</v>
      </c>
      <c r="J597" s="189">
        <f t="shared" si="48"/>
        <v>80</v>
      </c>
    </row>
    <row r="598" spans="1:10" ht="63.75">
      <c r="A598" s="16" t="s">
        <v>202</v>
      </c>
      <c r="B598" s="19" t="s">
        <v>272</v>
      </c>
      <c r="C598" s="20" t="s">
        <v>65</v>
      </c>
      <c r="D598" s="20" t="s">
        <v>71</v>
      </c>
      <c r="E598" s="97" t="s">
        <v>414</v>
      </c>
      <c r="F598" s="97"/>
      <c r="G598" s="187">
        <f>G599</f>
        <v>129</v>
      </c>
      <c r="H598" s="187">
        <f>H599</f>
        <v>128.80000000000001</v>
      </c>
      <c r="I598" s="187">
        <f t="shared" si="47"/>
        <v>0.19999999999998863</v>
      </c>
      <c r="J598" s="189">
        <f t="shared" si="48"/>
        <v>99.844961240310084</v>
      </c>
    </row>
    <row r="599" spans="1:10" ht="51">
      <c r="A599" s="16" t="s">
        <v>90</v>
      </c>
      <c r="B599" s="19" t="s">
        <v>272</v>
      </c>
      <c r="C599" s="20" t="s">
        <v>65</v>
      </c>
      <c r="D599" s="20" t="s">
        <v>71</v>
      </c>
      <c r="E599" s="97" t="s">
        <v>414</v>
      </c>
      <c r="F599" s="97" t="s">
        <v>91</v>
      </c>
      <c r="G599" s="187">
        <f>G600</f>
        <v>129</v>
      </c>
      <c r="H599" s="187">
        <f>H600</f>
        <v>128.80000000000001</v>
      </c>
      <c r="I599" s="187">
        <f t="shared" si="47"/>
        <v>0.19999999999998863</v>
      </c>
      <c r="J599" s="189">
        <f t="shared" si="48"/>
        <v>99.844961240310084</v>
      </c>
    </row>
    <row r="600" spans="1:10" ht="25.5">
      <c r="A600" s="16" t="s">
        <v>87</v>
      </c>
      <c r="B600" s="19" t="s">
        <v>272</v>
      </c>
      <c r="C600" s="20" t="s">
        <v>65</v>
      </c>
      <c r="D600" s="20" t="s">
        <v>71</v>
      </c>
      <c r="E600" s="97" t="s">
        <v>414</v>
      </c>
      <c r="F600" s="97" t="s">
        <v>88</v>
      </c>
      <c r="G600" s="187">
        <f>200-71</f>
        <v>129</v>
      </c>
      <c r="H600" s="187">
        <v>128.80000000000001</v>
      </c>
      <c r="I600" s="187">
        <f t="shared" si="47"/>
        <v>0.19999999999998863</v>
      </c>
      <c r="J600" s="189">
        <f t="shared" si="48"/>
        <v>99.844961240310084</v>
      </c>
    </row>
    <row r="601" spans="1:10">
      <c r="A601" s="16" t="s">
        <v>174</v>
      </c>
      <c r="B601" s="19" t="s">
        <v>272</v>
      </c>
      <c r="C601" s="20" t="s">
        <v>65</v>
      </c>
      <c r="D601" s="20" t="s">
        <v>71</v>
      </c>
      <c r="E601" s="97" t="s">
        <v>415</v>
      </c>
      <c r="F601" s="97"/>
      <c r="G601" s="187">
        <f>G602</f>
        <v>11</v>
      </c>
      <c r="H601" s="187">
        <f>H602</f>
        <v>10.7</v>
      </c>
      <c r="I601" s="187">
        <f t="shared" si="47"/>
        <v>0.30000000000000071</v>
      </c>
      <c r="J601" s="189">
        <f t="shared" si="48"/>
        <v>97.272727272727266</v>
      </c>
    </row>
    <row r="602" spans="1:10" ht="51">
      <c r="A602" s="16" t="s">
        <v>90</v>
      </c>
      <c r="B602" s="19" t="s">
        <v>272</v>
      </c>
      <c r="C602" s="20" t="s">
        <v>65</v>
      </c>
      <c r="D602" s="20" t="s">
        <v>71</v>
      </c>
      <c r="E602" s="97" t="s">
        <v>415</v>
      </c>
      <c r="F602" s="97" t="s">
        <v>91</v>
      </c>
      <c r="G602" s="187">
        <f>G603</f>
        <v>11</v>
      </c>
      <c r="H602" s="187">
        <f>H603</f>
        <v>10.7</v>
      </c>
      <c r="I602" s="187">
        <f t="shared" si="47"/>
        <v>0.30000000000000071</v>
      </c>
      <c r="J602" s="189">
        <f t="shared" si="48"/>
        <v>97.272727272727266</v>
      </c>
    </row>
    <row r="603" spans="1:10" ht="25.5">
      <c r="A603" s="16" t="s">
        <v>87</v>
      </c>
      <c r="B603" s="19" t="s">
        <v>272</v>
      </c>
      <c r="C603" s="20" t="s">
        <v>65</v>
      </c>
      <c r="D603" s="20" t="s">
        <v>71</v>
      </c>
      <c r="E603" s="97" t="s">
        <v>415</v>
      </c>
      <c r="F603" s="97" t="s">
        <v>88</v>
      </c>
      <c r="G603" s="187">
        <f>15-4</f>
        <v>11</v>
      </c>
      <c r="H603" s="187">
        <v>10.7</v>
      </c>
      <c r="I603" s="187">
        <f t="shared" si="47"/>
        <v>0.30000000000000071</v>
      </c>
      <c r="J603" s="189">
        <f t="shared" si="48"/>
        <v>97.272727272727266</v>
      </c>
    </row>
    <row r="604" spans="1:10">
      <c r="A604" s="16" t="s">
        <v>467</v>
      </c>
      <c r="B604" s="19" t="s">
        <v>272</v>
      </c>
      <c r="C604" s="20" t="s">
        <v>65</v>
      </c>
      <c r="D604" s="20" t="s">
        <v>71</v>
      </c>
      <c r="E604" s="97" t="s">
        <v>468</v>
      </c>
      <c r="F604" s="97"/>
      <c r="G604" s="187">
        <f>G605+G612+G615</f>
        <v>15308.4</v>
      </c>
      <c r="H604" s="187">
        <f>H605+H612+H615</f>
        <v>15287.099999999999</v>
      </c>
      <c r="I604" s="187">
        <f t="shared" si="47"/>
        <v>21.300000000001091</v>
      </c>
      <c r="J604" s="189">
        <f t="shared" si="48"/>
        <v>99.860860703927244</v>
      </c>
    </row>
    <row r="605" spans="1:10" ht="25.5">
      <c r="A605" s="16" t="s">
        <v>261</v>
      </c>
      <c r="B605" s="19" t="s">
        <v>272</v>
      </c>
      <c r="C605" s="20" t="s">
        <v>65</v>
      </c>
      <c r="D605" s="20" t="s">
        <v>71</v>
      </c>
      <c r="E605" s="97" t="s">
        <v>469</v>
      </c>
      <c r="F605" s="97"/>
      <c r="G605" s="187">
        <f>G606+G608+G610</f>
        <v>14790.8</v>
      </c>
      <c r="H605" s="187">
        <f>H606+H608+H610</f>
        <v>14770.4</v>
      </c>
      <c r="I605" s="187">
        <f t="shared" si="47"/>
        <v>20.399999999999636</v>
      </c>
      <c r="J605" s="189">
        <f t="shared" si="48"/>
        <v>99.862076425886357</v>
      </c>
    </row>
    <row r="606" spans="1:10" ht="51">
      <c r="A606" s="16" t="s">
        <v>90</v>
      </c>
      <c r="B606" s="19" t="s">
        <v>272</v>
      </c>
      <c r="C606" s="20" t="s">
        <v>65</v>
      </c>
      <c r="D606" s="20" t="s">
        <v>71</v>
      </c>
      <c r="E606" s="97" t="s">
        <v>469</v>
      </c>
      <c r="F606" s="97" t="s">
        <v>91</v>
      </c>
      <c r="G606" s="187">
        <f>G607</f>
        <v>14142.5</v>
      </c>
      <c r="H606" s="187">
        <f>H607</f>
        <v>14142.5</v>
      </c>
      <c r="I606" s="187">
        <f t="shared" si="47"/>
        <v>0</v>
      </c>
      <c r="J606" s="189">
        <f t="shared" si="48"/>
        <v>100</v>
      </c>
    </row>
    <row r="607" spans="1:10">
      <c r="A607" s="16" t="s">
        <v>206</v>
      </c>
      <c r="B607" s="19" t="s">
        <v>272</v>
      </c>
      <c r="C607" s="20" t="s">
        <v>65</v>
      </c>
      <c r="D607" s="20" t="s">
        <v>71</v>
      </c>
      <c r="E607" s="97" t="s">
        <v>469</v>
      </c>
      <c r="F607" s="97" t="s">
        <v>207</v>
      </c>
      <c r="G607" s="187">
        <f>14222.6-80.1</f>
        <v>14142.5</v>
      </c>
      <c r="H607" s="187">
        <v>14142.5</v>
      </c>
      <c r="I607" s="187">
        <f t="shared" si="47"/>
        <v>0</v>
      </c>
      <c r="J607" s="189">
        <f t="shared" si="48"/>
        <v>100</v>
      </c>
    </row>
    <row r="608" spans="1:10" ht="25.5">
      <c r="A608" s="16" t="s">
        <v>331</v>
      </c>
      <c r="B608" s="19" t="s">
        <v>272</v>
      </c>
      <c r="C608" s="20" t="s">
        <v>65</v>
      </c>
      <c r="D608" s="20" t="s">
        <v>71</v>
      </c>
      <c r="E608" s="97" t="s">
        <v>469</v>
      </c>
      <c r="F608" s="97" t="s">
        <v>92</v>
      </c>
      <c r="G608" s="187">
        <f>G609</f>
        <v>645.29999999999995</v>
      </c>
      <c r="H608" s="187">
        <f>H609</f>
        <v>624.9</v>
      </c>
      <c r="I608" s="187">
        <f t="shared" si="47"/>
        <v>20.399999999999977</v>
      </c>
      <c r="J608" s="189">
        <f t="shared" si="48"/>
        <v>96.838679683867966</v>
      </c>
    </row>
    <row r="609" spans="1:10" ht="25.5">
      <c r="A609" s="16" t="s">
        <v>556</v>
      </c>
      <c r="B609" s="19" t="s">
        <v>272</v>
      </c>
      <c r="C609" s="20" t="s">
        <v>65</v>
      </c>
      <c r="D609" s="20" t="s">
        <v>71</v>
      </c>
      <c r="E609" s="97" t="s">
        <v>469</v>
      </c>
      <c r="F609" s="97" t="s">
        <v>89</v>
      </c>
      <c r="G609" s="187">
        <f>481.6+163.7</f>
        <v>645.29999999999995</v>
      </c>
      <c r="H609" s="187">
        <v>624.9</v>
      </c>
      <c r="I609" s="187">
        <f t="shared" si="47"/>
        <v>20.399999999999977</v>
      </c>
      <c r="J609" s="189">
        <f t="shared" si="48"/>
        <v>96.838679683867966</v>
      </c>
    </row>
    <row r="610" spans="1:10">
      <c r="A610" s="16" t="s">
        <v>108</v>
      </c>
      <c r="B610" s="19" t="s">
        <v>272</v>
      </c>
      <c r="C610" s="20" t="s">
        <v>65</v>
      </c>
      <c r="D610" s="20" t="s">
        <v>71</v>
      </c>
      <c r="E610" s="97" t="s">
        <v>469</v>
      </c>
      <c r="F610" s="97" t="s">
        <v>109</v>
      </c>
      <c r="G610" s="187">
        <f>G611</f>
        <v>3</v>
      </c>
      <c r="H610" s="187">
        <f>H611</f>
        <v>3</v>
      </c>
      <c r="I610" s="187">
        <f t="shared" si="47"/>
        <v>0</v>
      </c>
      <c r="J610" s="189">
        <f t="shared" si="48"/>
        <v>100</v>
      </c>
    </row>
    <row r="611" spans="1:10">
      <c r="A611" s="16" t="s">
        <v>111</v>
      </c>
      <c r="B611" s="19" t="s">
        <v>272</v>
      </c>
      <c r="C611" s="20" t="s">
        <v>65</v>
      </c>
      <c r="D611" s="20" t="s">
        <v>71</v>
      </c>
      <c r="E611" s="97" t="s">
        <v>469</v>
      </c>
      <c r="F611" s="97" t="s">
        <v>112</v>
      </c>
      <c r="G611" s="187">
        <f>5-2</f>
        <v>3</v>
      </c>
      <c r="H611" s="187">
        <v>3</v>
      </c>
      <c r="I611" s="187">
        <f t="shared" si="47"/>
        <v>0</v>
      </c>
      <c r="J611" s="189">
        <f t="shared" si="48"/>
        <v>100</v>
      </c>
    </row>
    <row r="612" spans="1:10" ht="63.75">
      <c r="A612" s="16" t="s">
        <v>202</v>
      </c>
      <c r="B612" s="19" t="s">
        <v>272</v>
      </c>
      <c r="C612" s="20" t="s">
        <v>65</v>
      </c>
      <c r="D612" s="20" t="s">
        <v>71</v>
      </c>
      <c r="E612" s="97" t="s">
        <v>470</v>
      </c>
      <c r="F612" s="97"/>
      <c r="G612" s="187">
        <f>G613</f>
        <v>484</v>
      </c>
      <c r="H612" s="187">
        <f>H613</f>
        <v>483.4</v>
      </c>
      <c r="I612" s="187">
        <f t="shared" si="47"/>
        <v>0.60000000000002274</v>
      </c>
      <c r="J612" s="189">
        <f t="shared" si="48"/>
        <v>99.876033057851231</v>
      </c>
    </row>
    <row r="613" spans="1:10" ht="51">
      <c r="A613" s="16" t="s">
        <v>90</v>
      </c>
      <c r="B613" s="19" t="s">
        <v>272</v>
      </c>
      <c r="C613" s="20" t="s">
        <v>65</v>
      </c>
      <c r="D613" s="20" t="s">
        <v>71</v>
      </c>
      <c r="E613" s="97" t="s">
        <v>470</v>
      </c>
      <c r="F613" s="97" t="s">
        <v>91</v>
      </c>
      <c r="G613" s="187">
        <f>G614</f>
        <v>484</v>
      </c>
      <c r="H613" s="187">
        <f>H614</f>
        <v>483.4</v>
      </c>
      <c r="I613" s="187">
        <f t="shared" si="47"/>
        <v>0.60000000000002274</v>
      </c>
      <c r="J613" s="189">
        <f t="shared" si="48"/>
        <v>99.876033057851231</v>
      </c>
    </row>
    <row r="614" spans="1:10">
      <c r="A614" s="16" t="s">
        <v>206</v>
      </c>
      <c r="B614" s="19" t="s">
        <v>272</v>
      </c>
      <c r="C614" s="20" t="s">
        <v>65</v>
      </c>
      <c r="D614" s="20" t="s">
        <v>71</v>
      </c>
      <c r="E614" s="97" t="s">
        <v>470</v>
      </c>
      <c r="F614" s="97" t="s">
        <v>207</v>
      </c>
      <c r="G614" s="187">
        <f>982-498</f>
        <v>484</v>
      </c>
      <c r="H614" s="187">
        <v>483.4</v>
      </c>
      <c r="I614" s="187">
        <f t="shared" si="47"/>
        <v>0.60000000000002274</v>
      </c>
      <c r="J614" s="189">
        <f t="shared" si="48"/>
        <v>99.876033057851231</v>
      </c>
    </row>
    <row r="615" spans="1:10">
      <c r="A615" s="16" t="s">
        <v>174</v>
      </c>
      <c r="B615" s="19" t="s">
        <v>272</v>
      </c>
      <c r="C615" s="20" t="s">
        <v>65</v>
      </c>
      <c r="D615" s="20" t="s">
        <v>71</v>
      </c>
      <c r="E615" s="97" t="s">
        <v>471</v>
      </c>
      <c r="F615" s="97"/>
      <c r="G615" s="187">
        <f>G616</f>
        <v>33.6</v>
      </c>
      <c r="H615" s="187">
        <f>H616</f>
        <v>33.299999999999997</v>
      </c>
      <c r="I615" s="187">
        <f t="shared" si="47"/>
        <v>0.30000000000000426</v>
      </c>
      <c r="J615" s="189">
        <f t="shared" si="48"/>
        <v>99.107142857142847</v>
      </c>
    </row>
    <row r="616" spans="1:10" ht="51">
      <c r="A616" s="16" t="s">
        <v>90</v>
      </c>
      <c r="B616" s="19" t="s">
        <v>272</v>
      </c>
      <c r="C616" s="20" t="s">
        <v>65</v>
      </c>
      <c r="D616" s="20" t="s">
        <v>71</v>
      </c>
      <c r="E616" s="97" t="s">
        <v>471</v>
      </c>
      <c r="F616" s="97" t="s">
        <v>91</v>
      </c>
      <c r="G616" s="187">
        <f>G617</f>
        <v>33.6</v>
      </c>
      <c r="H616" s="187">
        <f>H617</f>
        <v>33.299999999999997</v>
      </c>
      <c r="I616" s="187">
        <f t="shared" si="47"/>
        <v>0.30000000000000426</v>
      </c>
      <c r="J616" s="189">
        <f t="shared" si="48"/>
        <v>99.107142857142847</v>
      </c>
    </row>
    <row r="617" spans="1:10">
      <c r="A617" s="16" t="s">
        <v>206</v>
      </c>
      <c r="B617" s="19" t="s">
        <v>272</v>
      </c>
      <c r="C617" s="20" t="s">
        <v>65</v>
      </c>
      <c r="D617" s="20" t="s">
        <v>71</v>
      </c>
      <c r="E617" s="97" t="s">
        <v>471</v>
      </c>
      <c r="F617" s="97" t="s">
        <v>207</v>
      </c>
      <c r="G617" s="187">
        <f>51.1-17.5</f>
        <v>33.6</v>
      </c>
      <c r="H617" s="187">
        <v>33.299999999999997</v>
      </c>
      <c r="I617" s="187">
        <f t="shared" si="47"/>
        <v>0.30000000000000426</v>
      </c>
      <c r="J617" s="189">
        <f t="shared" si="48"/>
        <v>99.107142857142847</v>
      </c>
    </row>
    <row r="618" spans="1:10">
      <c r="A618" s="16" t="s">
        <v>472</v>
      </c>
      <c r="B618" s="19" t="s">
        <v>272</v>
      </c>
      <c r="C618" s="20" t="s">
        <v>65</v>
      </c>
      <c r="D618" s="20" t="s">
        <v>71</v>
      </c>
      <c r="E618" s="97" t="s">
        <v>473</v>
      </c>
      <c r="F618" s="97"/>
      <c r="G618" s="187">
        <f>G619+G626</f>
        <v>17399.799999999996</v>
      </c>
      <c r="H618" s="187">
        <f>H619+H626</f>
        <v>17376.700000000004</v>
      </c>
      <c r="I618" s="187">
        <f t="shared" si="47"/>
        <v>23.099999999991269</v>
      </c>
      <c r="J618" s="189">
        <f t="shared" si="48"/>
        <v>99.867239853331697</v>
      </c>
    </row>
    <row r="619" spans="1:10" ht="25.5">
      <c r="A619" s="16" t="s">
        <v>263</v>
      </c>
      <c r="B619" s="19" t="s">
        <v>272</v>
      </c>
      <c r="C619" s="20" t="s">
        <v>65</v>
      </c>
      <c r="D619" s="20" t="s">
        <v>71</v>
      </c>
      <c r="E619" s="97" t="s">
        <v>474</v>
      </c>
      <c r="F619" s="97"/>
      <c r="G619" s="187">
        <f>G620+G622+G624</f>
        <v>17164.299999999996</v>
      </c>
      <c r="H619" s="187">
        <f>H620+H622+H624</f>
        <v>17146.300000000003</v>
      </c>
      <c r="I619" s="187">
        <f t="shared" si="47"/>
        <v>17.999999999992724</v>
      </c>
      <c r="J619" s="189">
        <f t="shared" si="48"/>
        <v>99.895131173423962</v>
      </c>
    </row>
    <row r="620" spans="1:10" ht="51">
      <c r="A620" s="16" t="s">
        <v>90</v>
      </c>
      <c r="B620" s="19" t="s">
        <v>272</v>
      </c>
      <c r="C620" s="20" t="s">
        <v>65</v>
      </c>
      <c r="D620" s="20" t="s">
        <v>71</v>
      </c>
      <c r="E620" s="97" t="s">
        <v>474</v>
      </c>
      <c r="F620" s="97" t="s">
        <v>91</v>
      </c>
      <c r="G620" s="187">
        <f>G621</f>
        <v>13239.399999999998</v>
      </c>
      <c r="H620" s="187">
        <f>H621</f>
        <v>13226.900000000001</v>
      </c>
      <c r="I620" s="187">
        <f t="shared" si="47"/>
        <v>12.499999999996362</v>
      </c>
      <c r="J620" s="189">
        <f t="shared" si="48"/>
        <v>99.905584845234713</v>
      </c>
    </row>
    <row r="621" spans="1:10">
      <c r="A621" s="16" t="s">
        <v>206</v>
      </c>
      <c r="B621" s="19" t="s">
        <v>272</v>
      </c>
      <c r="C621" s="20" t="s">
        <v>65</v>
      </c>
      <c r="D621" s="20" t="s">
        <v>71</v>
      </c>
      <c r="E621" s="97" t="s">
        <v>474</v>
      </c>
      <c r="F621" s="97" t="s">
        <v>207</v>
      </c>
      <c r="G621" s="187">
        <f>10452.4+2302.7+484.3</f>
        <v>13239.399999999998</v>
      </c>
      <c r="H621" s="187">
        <f>10085.6+324.6+2816.7</f>
        <v>13226.900000000001</v>
      </c>
      <c r="I621" s="187">
        <f t="shared" si="47"/>
        <v>12.499999999996362</v>
      </c>
      <c r="J621" s="189">
        <f t="shared" si="48"/>
        <v>99.905584845234713</v>
      </c>
    </row>
    <row r="622" spans="1:10" ht="25.5">
      <c r="A622" s="16" t="s">
        <v>331</v>
      </c>
      <c r="B622" s="19" t="s">
        <v>272</v>
      </c>
      <c r="C622" s="20" t="s">
        <v>65</v>
      </c>
      <c r="D622" s="20" t="s">
        <v>71</v>
      </c>
      <c r="E622" s="97" t="s">
        <v>474</v>
      </c>
      <c r="F622" s="97" t="s">
        <v>92</v>
      </c>
      <c r="G622" s="187">
        <f>G623</f>
        <v>3596.3999999999996</v>
      </c>
      <c r="H622" s="187">
        <f>H623</f>
        <v>3596.4</v>
      </c>
      <c r="I622" s="187">
        <f t="shared" si="47"/>
        <v>0</v>
      </c>
      <c r="J622" s="189">
        <f t="shared" si="48"/>
        <v>100.00000000000003</v>
      </c>
    </row>
    <row r="623" spans="1:10" ht="25.5">
      <c r="A623" s="16" t="s">
        <v>556</v>
      </c>
      <c r="B623" s="19" t="s">
        <v>272</v>
      </c>
      <c r="C623" s="20" t="s">
        <v>65</v>
      </c>
      <c r="D623" s="20" t="s">
        <v>71</v>
      </c>
      <c r="E623" s="97" t="s">
        <v>474</v>
      </c>
      <c r="F623" s="97" t="s">
        <v>89</v>
      </c>
      <c r="G623" s="187">
        <f>2850.1+746.3</f>
        <v>3596.3999999999996</v>
      </c>
      <c r="H623" s="187">
        <v>3596.4</v>
      </c>
      <c r="I623" s="187">
        <f t="shared" si="47"/>
        <v>0</v>
      </c>
      <c r="J623" s="189">
        <f t="shared" si="48"/>
        <v>100.00000000000003</v>
      </c>
    </row>
    <row r="624" spans="1:10">
      <c r="A624" s="16" t="s">
        <v>108</v>
      </c>
      <c r="B624" s="19" t="s">
        <v>272</v>
      </c>
      <c r="C624" s="20" t="s">
        <v>65</v>
      </c>
      <c r="D624" s="20" t="s">
        <v>71</v>
      </c>
      <c r="E624" s="97" t="s">
        <v>474</v>
      </c>
      <c r="F624" s="97" t="s">
        <v>109</v>
      </c>
      <c r="G624" s="187">
        <f>G625</f>
        <v>328.5</v>
      </c>
      <c r="H624" s="187">
        <f>H625</f>
        <v>323</v>
      </c>
      <c r="I624" s="187">
        <f t="shared" si="47"/>
        <v>5.5</v>
      </c>
      <c r="J624" s="189">
        <f t="shared" si="48"/>
        <v>98.325722983257222</v>
      </c>
    </row>
    <row r="625" spans="1:15">
      <c r="A625" s="16" t="s">
        <v>111</v>
      </c>
      <c r="B625" s="19" t="s">
        <v>272</v>
      </c>
      <c r="C625" s="20" t="s">
        <v>65</v>
      </c>
      <c r="D625" s="20" t="s">
        <v>71</v>
      </c>
      <c r="E625" s="97" t="s">
        <v>474</v>
      </c>
      <c r="F625" s="97" t="s">
        <v>112</v>
      </c>
      <c r="G625" s="187">
        <f>372.6-44.1</f>
        <v>328.5</v>
      </c>
      <c r="H625" s="187">
        <f>261.4+37.1+24.5</f>
        <v>323</v>
      </c>
      <c r="I625" s="187">
        <f t="shared" si="47"/>
        <v>5.5</v>
      </c>
      <c r="J625" s="189">
        <f t="shared" si="48"/>
        <v>98.325722983257222</v>
      </c>
    </row>
    <row r="626" spans="1:15" ht="63.75">
      <c r="A626" s="16" t="s">
        <v>202</v>
      </c>
      <c r="B626" s="19" t="s">
        <v>272</v>
      </c>
      <c r="C626" s="20" t="s">
        <v>65</v>
      </c>
      <c r="D626" s="20" t="s">
        <v>71</v>
      </c>
      <c r="E626" s="97" t="s">
        <v>475</v>
      </c>
      <c r="F626" s="97"/>
      <c r="G626" s="187">
        <f>G627</f>
        <v>235.5</v>
      </c>
      <c r="H626" s="187">
        <f>H627</f>
        <v>230.4</v>
      </c>
      <c r="I626" s="187">
        <f t="shared" si="47"/>
        <v>5.0999999999999943</v>
      </c>
      <c r="J626" s="189">
        <f t="shared" si="48"/>
        <v>97.834394904458605</v>
      </c>
    </row>
    <row r="627" spans="1:15" ht="51">
      <c r="A627" s="16" t="s">
        <v>90</v>
      </c>
      <c r="B627" s="19" t="s">
        <v>272</v>
      </c>
      <c r="C627" s="20" t="s">
        <v>65</v>
      </c>
      <c r="D627" s="20" t="s">
        <v>71</v>
      </c>
      <c r="E627" s="97" t="s">
        <v>475</v>
      </c>
      <c r="F627" s="97" t="s">
        <v>91</v>
      </c>
      <c r="G627" s="187">
        <f>G628</f>
        <v>235.5</v>
      </c>
      <c r="H627" s="187">
        <f>H628</f>
        <v>230.4</v>
      </c>
      <c r="I627" s="187">
        <f t="shared" si="47"/>
        <v>5.0999999999999943</v>
      </c>
      <c r="J627" s="189">
        <f t="shared" si="48"/>
        <v>97.834394904458605</v>
      </c>
    </row>
    <row r="628" spans="1:15">
      <c r="A628" s="16" t="s">
        <v>206</v>
      </c>
      <c r="B628" s="19" t="s">
        <v>272</v>
      </c>
      <c r="C628" s="20" t="s">
        <v>65</v>
      </c>
      <c r="D628" s="20" t="s">
        <v>71</v>
      </c>
      <c r="E628" s="97" t="s">
        <v>475</v>
      </c>
      <c r="F628" s="97" t="s">
        <v>207</v>
      </c>
      <c r="G628" s="187">
        <f>341.5-106</f>
        <v>235.5</v>
      </c>
      <c r="H628" s="187">
        <v>230.4</v>
      </c>
      <c r="I628" s="187">
        <f t="shared" si="47"/>
        <v>5.0999999999999943</v>
      </c>
      <c r="J628" s="189">
        <f t="shared" si="48"/>
        <v>97.834394904458605</v>
      </c>
    </row>
    <row r="629" spans="1:15" ht="25.5">
      <c r="A629" s="15" t="s">
        <v>132</v>
      </c>
      <c r="B629" s="35" t="s">
        <v>273</v>
      </c>
      <c r="C629" s="31"/>
      <c r="D629" s="31"/>
      <c r="E629" s="100"/>
      <c r="F629" s="100"/>
      <c r="G629" s="185">
        <f>G630+G694+G813+G821</f>
        <v>104913.5</v>
      </c>
      <c r="H629" s="185">
        <f>H630+H694+H813+H821</f>
        <v>102580.6</v>
      </c>
      <c r="I629" s="187">
        <f t="shared" si="47"/>
        <v>2332.8999999999942</v>
      </c>
      <c r="J629" s="189">
        <f t="shared" si="48"/>
        <v>97.776358619243481</v>
      </c>
      <c r="L629" s="119">
        <f>G646+G649+G652+G699+G709+G817+G848</f>
        <v>3215.4</v>
      </c>
      <c r="M629" s="119">
        <f>H646+H649+H652+H699+H709+H817+H848</f>
        <v>3183.7999999999997</v>
      </c>
      <c r="N629" s="119">
        <f>M629-L629</f>
        <v>-31.600000000000364</v>
      </c>
      <c r="O629" s="237">
        <f>M629/L629*100</f>
        <v>99.017229582633561</v>
      </c>
    </row>
    <row r="630" spans="1:15">
      <c r="A630" s="15" t="s">
        <v>7</v>
      </c>
      <c r="B630" s="35" t="s">
        <v>273</v>
      </c>
      <c r="C630" s="31" t="s">
        <v>65</v>
      </c>
      <c r="D630" s="31" t="s">
        <v>33</v>
      </c>
      <c r="E630" s="97"/>
      <c r="F630" s="97"/>
      <c r="G630" s="185">
        <f>G631+G665</f>
        <v>29950.3</v>
      </c>
      <c r="H630" s="185">
        <f>H631+H665</f>
        <v>29617.8</v>
      </c>
      <c r="I630" s="187">
        <f t="shared" si="47"/>
        <v>332.5</v>
      </c>
      <c r="J630" s="189">
        <f t="shared" si="48"/>
        <v>98.889827480859964</v>
      </c>
      <c r="L630" s="119">
        <f>G629-L629</f>
        <v>101698.1</v>
      </c>
      <c r="M630" s="119">
        <f>H629-M629</f>
        <v>99396.800000000003</v>
      </c>
      <c r="N630" s="119">
        <f>M630-L630</f>
        <v>-2301.3000000000029</v>
      </c>
      <c r="O630" s="237">
        <f>M630/L630*100</f>
        <v>97.737125865674969</v>
      </c>
    </row>
    <row r="631" spans="1:15">
      <c r="A631" s="15" t="s">
        <v>302</v>
      </c>
      <c r="B631" s="35" t="s">
        <v>273</v>
      </c>
      <c r="C631" s="31" t="s">
        <v>65</v>
      </c>
      <c r="D631" s="31" t="s">
        <v>66</v>
      </c>
      <c r="E631" s="97"/>
      <c r="F631" s="97"/>
      <c r="G631" s="185">
        <f>G633+G644+G655</f>
        <v>28090.5</v>
      </c>
      <c r="H631" s="185">
        <f>H633+H644+H655</f>
        <v>27758</v>
      </c>
      <c r="I631" s="187">
        <f t="shared" si="47"/>
        <v>332.5</v>
      </c>
      <c r="J631" s="189">
        <f t="shared" si="48"/>
        <v>98.816325804097474</v>
      </c>
      <c r="L631" s="119">
        <f>G646+G649+G652</f>
        <v>1701.2</v>
      </c>
      <c r="M631" s="119">
        <f>H646+H649+H652</f>
        <v>1669.6</v>
      </c>
      <c r="N631" s="119">
        <f t="shared" ref="N631" si="49">M631-L631</f>
        <v>-31.600000000000136</v>
      </c>
      <c r="O631" s="237">
        <f t="shared" ref="O631" si="50">M631/L631*100</f>
        <v>98.142487655772399</v>
      </c>
    </row>
    <row r="632" spans="1:15">
      <c r="A632" s="16" t="s">
        <v>430</v>
      </c>
      <c r="B632" s="19" t="s">
        <v>273</v>
      </c>
      <c r="C632" s="20" t="s">
        <v>65</v>
      </c>
      <c r="D632" s="20" t="s">
        <v>66</v>
      </c>
      <c r="E632" s="102" t="s">
        <v>431</v>
      </c>
      <c r="F632" s="97"/>
      <c r="G632" s="187">
        <f>G633+G644</f>
        <v>2061.1999999999998</v>
      </c>
      <c r="H632" s="187">
        <f>H633+H644</f>
        <v>1993.5</v>
      </c>
      <c r="I632" s="187">
        <f t="shared" si="47"/>
        <v>67.699999999999818</v>
      </c>
      <c r="J632" s="189">
        <f t="shared" si="48"/>
        <v>96.71550553075879</v>
      </c>
      <c r="L632" s="119"/>
      <c r="M632" s="119"/>
      <c r="N632" s="119"/>
      <c r="O632" s="237"/>
    </row>
    <row r="633" spans="1:15" ht="25.5">
      <c r="A633" s="28" t="str">
        <f>'МП пр.5'!A257</f>
        <v>Муниципальная программа  "Пожарная безопасность в Сусуманском городском округе на 2018- 2022 годы"</v>
      </c>
      <c r="B633" s="19" t="s">
        <v>273</v>
      </c>
      <c r="C633" s="20" t="s">
        <v>65</v>
      </c>
      <c r="D633" s="20" t="s">
        <v>66</v>
      </c>
      <c r="E633" s="102" t="str">
        <f>'МП пр.5'!B257</f>
        <v xml:space="preserve">7П 0 00 00000 </v>
      </c>
      <c r="F633" s="97"/>
      <c r="G633" s="187">
        <f>G634</f>
        <v>360</v>
      </c>
      <c r="H633" s="187">
        <f>H634</f>
        <v>323.89999999999998</v>
      </c>
      <c r="I633" s="187">
        <f t="shared" si="47"/>
        <v>36.100000000000023</v>
      </c>
      <c r="J633" s="189">
        <f t="shared" si="48"/>
        <v>89.972222222222214</v>
      </c>
    </row>
    <row r="634" spans="1:15" ht="38.25">
      <c r="A634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34" s="19" t="s">
        <v>273</v>
      </c>
      <c r="C634" s="20" t="s">
        <v>65</v>
      </c>
      <c r="D634" s="20" t="s">
        <v>66</v>
      </c>
      <c r="E634" s="102" t="str">
        <f>'МП пр.5'!B258</f>
        <v xml:space="preserve">7П 0 01 00000 </v>
      </c>
      <c r="F634" s="97"/>
      <c r="G634" s="187">
        <f>G635+G638+G641</f>
        <v>360</v>
      </c>
      <c r="H634" s="187">
        <f>H635+H638+H641</f>
        <v>323.89999999999998</v>
      </c>
      <c r="I634" s="187">
        <f t="shared" si="47"/>
        <v>36.100000000000023</v>
      </c>
      <c r="J634" s="189">
        <f t="shared" si="48"/>
        <v>89.972222222222214</v>
      </c>
    </row>
    <row r="635" spans="1:15" ht="38.25">
      <c r="A635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35" s="19" t="s">
        <v>273</v>
      </c>
      <c r="C635" s="20" t="s">
        <v>65</v>
      </c>
      <c r="D635" s="20" t="s">
        <v>66</v>
      </c>
      <c r="E635" s="102" t="str">
        <f>'МП пр.5'!B259</f>
        <v xml:space="preserve">7П 0 01 94100 </v>
      </c>
      <c r="F635" s="97"/>
      <c r="G635" s="187">
        <f>G636</f>
        <v>250</v>
      </c>
      <c r="H635" s="187">
        <f>H636</f>
        <v>234.9</v>
      </c>
      <c r="I635" s="187">
        <f t="shared" si="47"/>
        <v>15.099999999999994</v>
      </c>
      <c r="J635" s="189">
        <f t="shared" si="48"/>
        <v>93.96</v>
      </c>
    </row>
    <row r="636" spans="1:15" ht="25.5">
      <c r="A636" s="16" t="s">
        <v>93</v>
      </c>
      <c r="B636" s="19" t="s">
        <v>273</v>
      </c>
      <c r="C636" s="20" t="s">
        <v>65</v>
      </c>
      <c r="D636" s="20" t="s">
        <v>66</v>
      </c>
      <c r="E636" s="102" t="s">
        <v>234</v>
      </c>
      <c r="F636" s="97" t="s">
        <v>94</v>
      </c>
      <c r="G636" s="187">
        <f>G637</f>
        <v>250</v>
      </c>
      <c r="H636" s="187">
        <f>H637</f>
        <v>234.9</v>
      </c>
      <c r="I636" s="187">
        <f t="shared" si="47"/>
        <v>15.099999999999994</v>
      </c>
      <c r="J636" s="189">
        <f t="shared" si="48"/>
        <v>93.96</v>
      </c>
    </row>
    <row r="637" spans="1:15">
      <c r="A637" s="16" t="s">
        <v>97</v>
      </c>
      <c r="B637" s="19" t="s">
        <v>273</v>
      </c>
      <c r="C637" s="20" t="s">
        <v>65</v>
      </c>
      <c r="D637" s="20" t="s">
        <v>66</v>
      </c>
      <c r="E637" s="102" t="s">
        <v>234</v>
      </c>
      <c r="F637" s="97" t="s">
        <v>98</v>
      </c>
      <c r="G637" s="187">
        <f>'МП пр.5'!G273</f>
        <v>250</v>
      </c>
      <c r="H637" s="187">
        <f>'МП пр.5'!H273</f>
        <v>234.9</v>
      </c>
      <c r="I637" s="187">
        <f t="shared" si="47"/>
        <v>15.099999999999994</v>
      </c>
      <c r="J637" s="189">
        <f t="shared" si="48"/>
        <v>93.96</v>
      </c>
    </row>
    <row r="638" spans="1:15">
      <c r="A638" s="28" t="str">
        <f>'МП пр.5'!A284</f>
        <v>Обработка сгораемых конструкций огнезащитными составами</v>
      </c>
      <c r="B638" s="19" t="s">
        <v>273</v>
      </c>
      <c r="C638" s="20" t="s">
        <v>65</v>
      </c>
      <c r="D638" s="20" t="s">
        <v>66</v>
      </c>
      <c r="E638" s="102" t="str">
        <f>'МП пр.5'!B284</f>
        <v xml:space="preserve">7П 0 01 94200 </v>
      </c>
      <c r="F638" s="97"/>
      <c r="G638" s="187">
        <f>G639</f>
        <v>70</v>
      </c>
      <c r="H638" s="187">
        <f>H639</f>
        <v>70</v>
      </c>
      <c r="I638" s="187">
        <f t="shared" si="47"/>
        <v>0</v>
      </c>
      <c r="J638" s="189">
        <f t="shared" si="48"/>
        <v>100</v>
      </c>
    </row>
    <row r="639" spans="1:15" ht="25.5">
      <c r="A639" s="16" t="s">
        <v>93</v>
      </c>
      <c r="B639" s="19" t="s">
        <v>273</v>
      </c>
      <c r="C639" s="20" t="s">
        <v>65</v>
      </c>
      <c r="D639" s="20" t="s">
        <v>66</v>
      </c>
      <c r="E639" s="102" t="s">
        <v>238</v>
      </c>
      <c r="F639" s="97" t="s">
        <v>94</v>
      </c>
      <c r="G639" s="187">
        <f>G640</f>
        <v>70</v>
      </c>
      <c r="H639" s="187">
        <f>H640</f>
        <v>70</v>
      </c>
      <c r="I639" s="187">
        <f t="shared" si="47"/>
        <v>0</v>
      </c>
      <c r="J639" s="189">
        <f t="shared" si="48"/>
        <v>100</v>
      </c>
    </row>
    <row r="640" spans="1:15">
      <c r="A640" s="16" t="s">
        <v>97</v>
      </c>
      <c r="B640" s="19" t="s">
        <v>273</v>
      </c>
      <c r="C640" s="20" t="s">
        <v>65</v>
      </c>
      <c r="D640" s="20" t="s">
        <v>66</v>
      </c>
      <c r="E640" s="102" t="s">
        <v>238</v>
      </c>
      <c r="F640" s="97" t="s">
        <v>98</v>
      </c>
      <c r="G640" s="187">
        <f>'МП пр.5'!G293</f>
        <v>70</v>
      </c>
      <c r="H640" s="187">
        <f>'МП пр.5'!H293</f>
        <v>70</v>
      </c>
      <c r="I640" s="187">
        <f t="shared" si="47"/>
        <v>0</v>
      </c>
      <c r="J640" s="189">
        <f t="shared" si="48"/>
        <v>100</v>
      </c>
    </row>
    <row r="641" spans="1:10" ht="25.5">
      <c r="A641" s="28" t="str">
        <f>'МП пр.5'!A299</f>
        <v>Приобретение и заправка огнетушителей, средств индивидуальной защиты</v>
      </c>
      <c r="B641" s="19" t="s">
        <v>273</v>
      </c>
      <c r="C641" s="20" t="s">
        <v>65</v>
      </c>
      <c r="D641" s="20" t="s">
        <v>66</v>
      </c>
      <c r="E641" s="102" t="str">
        <f>'МП пр.5'!B299</f>
        <v xml:space="preserve">7П 0 01 94300 </v>
      </c>
      <c r="F641" s="97"/>
      <c r="G641" s="187">
        <f>G642</f>
        <v>40</v>
      </c>
      <c r="H641" s="187">
        <f>H642</f>
        <v>19</v>
      </c>
      <c r="I641" s="187">
        <f t="shared" si="47"/>
        <v>21</v>
      </c>
      <c r="J641" s="189">
        <f t="shared" si="48"/>
        <v>47.5</v>
      </c>
    </row>
    <row r="642" spans="1:10" ht="25.5">
      <c r="A642" s="16" t="s">
        <v>93</v>
      </c>
      <c r="B642" s="19" t="s">
        <v>273</v>
      </c>
      <c r="C642" s="20" t="s">
        <v>65</v>
      </c>
      <c r="D642" s="20" t="s">
        <v>66</v>
      </c>
      <c r="E642" s="102" t="s">
        <v>247</v>
      </c>
      <c r="F642" s="97" t="s">
        <v>94</v>
      </c>
      <c r="G642" s="187">
        <f>G643</f>
        <v>40</v>
      </c>
      <c r="H642" s="187">
        <f>H643</f>
        <v>19</v>
      </c>
      <c r="I642" s="187">
        <f t="shared" si="47"/>
        <v>21</v>
      </c>
      <c r="J642" s="189">
        <f t="shared" si="48"/>
        <v>47.5</v>
      </c>
    </row>
    <row r="643" spans="1:10">
      <c r="A643" s="16" t="s">
        <v>97</v>
      </c>
      <c r="B643" s="19" t="s">
        <v>273</v>
      </c>
      <c r="C643" s="20" t="s">
        <v>65</v>
      </c>
      <c r="D643" s="20" t="s">
        <v>66</v>
      </c>
      <c r="E643" s="102" t="s">
        <v>247</v>
      </c>
      <c r="F643" s="97" t="s">
        <v>98</v>
      </c>
      <c r="G643" s="187">
        <f>'МП пр.5'!G304</f>
        <v>40</v>
      </c>
      <c r="H643" s="187">
        <f>'МП пр.5'!H304</f>
        <v>19</v>
      </c>
      <c r="I643" s="187">
        <f t="shared" si="47"/>
        <v>21</v>
      </c>
      <c r="J643" s="189">
        <f t="shared" si="48"/>
        <v>47.5</v>
      </c>
    </row>
    <row r="644" spans="1:10" ht="25.5">
      <c r="A644" s="28" t="str">
        <f>'МП пр.5'!A384</f>
        <v>Муниципальная  программа  "Развитие образования в Сусуманском городском округе  на 2018- 2022 годы"</v>
      </c>
      <c r="B644" s="19" t="s">
        <v>273</v>
      </c>
      <c r="C644" s="20" t="s">
        <v>65</v>
      </c>
      <c r="D644" s="20" t="s">
        <v>66</v>
      </c>
      <c r="E644" s="97" t="str">
        <f>'МП пр.5'!B384</f>
        <v xml:space="preserve">7Р 0 00 00000 </v>
      </c>
      <c r="F644" s="97"/>
      <c r="G644" s="187">
        <f>G645</f>
        <v>1701.2</v>
      </c>
      <c r="H644" s="187">
        <f>H645</f>
        <v>1669.6</v>
      </c>
      <c r="I644" s="187">
        <f t="shared" si="47"/>
        <v>31.600000000000136</v>
      </c>
      <c r="J644" s="189">
        <f t="shared" si="48"/>
        <v>98.142487655772399</v>
      </c>
    </row>
    <row r="645" spans="1:10" ht="25.5">
      <c r="A645" s="16" t="str">
        <f>'МП пр.5'!A392</f>
        <v>Основное мероприятие "Управление развитием отрасли образования"</v>
      </c>
      <c r="B645" s="19" t="s">
        <v>273</v>
      </c>
      <c r="C645" s="20" t="s">
        <v>65</v>
      </c>
      <c r="D645" s="20" t="s">
        <v>66</v>
      </c>
      <c r="E645" s="97" t="str">
        <f>'МП пр.5'!B392</f>
        <v>7Р 0 02 00000</v>
      </c>
      <c r="F645" s="97"/>
      <c r="G645" s="187">
        <f>G646+G649+G652</f>
        <v>1701.2</v>
      </c>
      <c r="H645" s="187">
        <f>H646+H649+H652</f>
        <v>1669.6</v>
      </c>
      <c r="I645" s="187">
        <f t="shared" si="47"/>
        <v>31.600000000000136</v>
      </c>
      <c r="J645" s="189">
        <f t="shared" si="48"/>
        <v>98.142487655772399</v>
      </c>
    </row>
    <row r="646" spans="1:10" s="58" customFormat="1" ht="51">
      <c r="A646" s="1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46" s="19" t="s">
        <v>273</v>
      </c>
      <c r="C646" s="20" t="s">
        <v>65</v>
      </c>
      <c r="D646" s="20" t="s">
        <v>66</v>
      </c>
      <c r="E646" s="97" t="str">
        <f>'МП пр.5'!B419</f>
        <v>7Р 0 02 74060</v>
      </c>
      <c r="F646" s="97"/>
      <c r="G646" s="187">
        <f>G647</f>
        <v>169.6</v>
      </c>
      <c r="H646" s="187">
        <f>H647</f>
        <v>163.69999999999999</v>
      </c>
      <c r="I646" s="187">
        <f t="shared" si="47"/>
        <v>5.9000000000000057</v>
      </c>
      <c r="J646" s="189">
        <f t="shared" si="48"/>
        <v>96.521226415094347</v>
      </c>
    </row>
    <row r="647" spans="1:10" s="58" customFormat="1" ht="25.5">
      <c r="A647" s="16" t="s">
        <v>93</v>
      </c>
      <c r="B647" s="19" t="s">
        <v>273</v>
      </c>
      <c r="C647" s="20" t="s">
        <v>65</v>
      </c>
      <c r="D647" s="20" t="s">
        <v>66</v>
      </c>
      <c r="E647" s="97" t="s">
        <v>337</v>
      </c>
      <c r="F647" s="97" t="s">
        <v>94</v>
      </c>
      <c r="G647" s="187">
        <f>G648</f>
        <v>169.6</v>
      </c>
      <c r="H647" s="187">
        <f>H648</f>
        <v>163.69999999999999</v>
      </c>
      <c r="I647" s="187">
        <f t="shared" si="47"/>
        <v>5.9000000000000057</v>
      </c>
      <c r="J647" s="189">
        <f t="shared" si="48"/>
        <v>96.521226415094347</v>
      </c>
    </row>
    <row r="648" spans="1:10" s="58" customFormat="1">
      <c r="A648" s="16" t="s">
        <v>97</v>
      </c>
      <c r="B648" s="19" t="s">
        <v>273</v>
      </c>
      <c r="C648" s="20" t="s">
        <v>65</v>
      </c>
      <c r="D648" s="20" t="s">
        <v>66</v>
      </c>
      <c r="E648" s="97" t="s">
        <v>337</v>
      </c>
      <c r="F648" s="97" t="s">
        <v>98</v>
      </c>
      <c r="G648" s="187">
        <f>'МП пр.5'!G433</f>
        <v>169.6</v>
      </c>
      <c r="H648" s="187">
        <f>'МП пр.5'!H433</f>
        <v>163.69999999999999</v>
      </c>
      <c r="I648" s="187">
        <f t="shared" si="47"/>
        <v>5.9000000000000057</v>
      </c>
      <c r="J648" s="189">
        <f t="shared" si="48"/>
        <v>96.521226415094347</v>
      </c>
    </row>
    <row r="649" spans="1:10" ht="51">
      <c r="A649" s="1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49" s="19" t="s">
        <v>273</v>
      </c>
      <c r="C649" s="20" t="s">
        <v>65</v>
      </c>
      <c r="D649" s="20" t="s">
        <v>66</v>
      </c>
      <c r="E649" s="97" t="str">
        <f>'МП пр.5'!B434</f>
        <v>7Р 0 02 74070</v>
      </c>
      <c r="F649" s="97"/>
      <c r="G649" s="187">
        <f>G650</f>
        <v>470.4</v>
      </c>
      <c r="H649" s="187">
        <f>H650</f>
        <v>444.7</v>
      </c>
      <c r="I649" s="187">
        <f t="shared" si="47"/>
        <v>25.699999999999989</v>
      </c>
      <c r="J649" s="189">
        <f t="shared" si="48"/>
        <v>94.536564625850332</v>
      </c>
    </row>
    <row r="650" spans="1:10" ht="25.5">
      <c r="A650" s="16" t="s">
        <v>93</v>
      </c>
      <c r="B650" s="19" t="s">
        <v>273</v>
      </c>
      <c r="C650" s="20" t="s">
        <v>65</v>
      </c>
      <c r="D650" s="20" t="s">
        <v>66</v>
      </c>
      <c r="E650" s="97" t="s">
        <v>338</v>
      </c>
      <c r="F650" s="97" t="s">
        <v>94</v>
      </c>
      <c r="G650" s="187">
        <f>G651</f>
        <v>470.4</v>
      </c>
      <c r="H650" s="187">
        <f>H651</f>
        <v>444.7</v>
      </c>
      <c r="I650" s="187">
        <f t="shared" si="47"/>
        <v>25.699999999999989</v>
      </c>
      <c r="J650" s="189">
        <f t="shared" si="48"/>
        <v>94.536564625850332</v>
      </c>
    </row>
    <row r="651" spans="1:10">
      <c r="A651" s="16" t="s">
        <v>97</v>
      </c>
      <c r="B651" s="19" t="s">
        <v>273</v>
      </c>
      <c r="C651" s="20" t="s">
        <v>65</v>
      </c>
      <c r="D651" s="20" t="s">
        <v>66</v>
      </c>
      <c r="E651" s="97" t="s">
        <v>338</v>
      </c>
      <c r="F651" s="97" t="s">
        <v>98</v>
      </c>
      <c r="G651" s="187">
        <f>'МП пр.5'!G448</f>
        <v>470.4</v>
      </c>
      <c r="H651" s="187">
        <f>'МП пр.5'!H448</f>
        <v>444.7</v>
      </c>
      <c r="I651" s="187">
        <f t="shared" si="47"/>
        <v>25.699999999999989</v>
      </c>
      <c r="J651" s="189">
        <f t="shared" si="48"/>
        <v>94.536564625850332</v>
      </c>
    </row>
    <row r="652" spans="1:10" ht="51">
      <c r="A652" s="1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52" s="19" t="s">
        <v>273</v>
      </c>
      <c r="C652" s="20" t="s">
        <v>65</v>
      </c>
      <c r="D652" s="20" t="s">
        <v>66</v>
      </c>
      <c r="E652" s="97" t="str">
        <f>'МП пр.5'!B461</f>
        <v>7Р 0 02 75010</v>
      </c>
      <c r="F652" s="97"/>
      <c r="G652" s="187">
        <f>G653</f>
        <v>1061.2</v>
      </c>
      <c r="H652" s="187">
        <f>H653</f>
        <v>1061.2</v>
      </c>
      <c r="I652" s="187">
        <f t="shared" si="47"/>
        <v>0</v>
      </c>
      <c r="J652" s="189">
        <f t="shared" si="48"/>
        <v>100</v>
      </c>
    </row>
    <row r="653" spans="1:10" ht="25.5">
      <c r="A653" s="16" t="s">
        <v>93</v>
      </c>
      <c r="B653" s="19" t="s">
        <v>273</v>
      </c>
      <c r="C653" s="20" t="s">
        <v>65</v>
      </c>
      <c r="D653" s="20" t="s">
        <v>66</v>
      </c>
      <c r="E653" s="97" t="s">
        <v>340</v>
      </c>
      <c r="F653" s="97" t="s">
        <v>94</v>
      </c>
      <c r="G653" s="187">
        <f>G654</f>
        <v>1061.2</v>
      </c>
      <c r="H653" s="187">
        <f>H654</f>
        <v>1061.2</v>
      </c>
      <c r="I653" s="187">
        <f t="shared" si="47"/>
        <v>0</v>
      </c>
      <c r="J653" s="189">
        <f t="shared" si="48"/>
        <v>100</v>
      </c>
    </row>
    <row r="654" spans="1:10">
      <c r="A654" s="16" t="s">
        <v>97</v>
      </c>
      <c r="B654" s="19" t="s">
        <v>273</v>
      </c>
      <c r="C654" s="20" t="s">
        <v>65</v>
      </c>
      <c r="D654" s="20" t="s">
        <v>66</v>
      </c>
      <c r="E654" s="97" t="s">
        <v>340</v>
      </c>
      <c r="F654" s="97" t="s">
        <v>98</v>
      </c>
      <c r="G654" s="187">
        <f>'МП пр.5'!G475</f>
        <v>1061.2</v>
      </c>
      <c r="H654" s="187">
        <f>'МП пр.5'!H475</f>
        <v>1061.2</v>
      </c>
      <c r="I654" s="187">
        <f t="shared" si="47"/>
        <v>0</v>
      </c>
      <c r="J654" s="189">
        <f t="shared" si="48"/>
        <v>100</v>
      </c>
    </row>
    <row r="655" spans="1:10">
      <c r="A655" s="16" t="s">
        <v>226</v>
      </c>
      <c r="B655" s="19" t="s">
        <v>273</v>
      </c>
      <c r="C655" s="20" t="s">
        <v>65</v>
      </c>
      <c r="D655" s="20" t="s">
        <v>66</v>
      </c>
      <c r="E655" s="97" t="s">
        <v>463</v>
      </c>
      <c r="F655" s="97"/>
      <c r="G655" s="187">
        <f>G656+G659+G662</f>
        <v>26029.3</v>
      </c>
      <c r="H655" s="187">
        <f>H656+H659+H662</f>
        <v>25764.5</v>
      </c>
      <c r="I655" s="187">
        <f t="shared" ref="I655:I718" si="51">G655-H655</f>
        <v>264.79999999999927</v>
      </c>
      <c r="J655" s="189">
        <f t="shared" ref="J655:J718" si="52">H655/G655*100</f>
        <v>98.982684897404084</v>
      </c>
    </row>
    <row r="656" spans="1:10" ht="25.5">
      <c r="A656" s="16" t="s">
        <v>183</v>
      </c>
      <c r="B656" s="19" t="s">
        <v>273</v>
      </c>
      <c r="C656" s="20" t="s">
        <v>65</v>
      </c>
      <c r="D656" s="20" t="s">
        <v>66</v>
      </c>
      <c r="E656" s="97" t="s">
        <v>464</v>
      </c>
      <c r="F656" s="97"/>
      <c r="G656" s="187">
        <f>G657</f>
        <v>25368.799999999999</v>
      </c>
      <c r="H656" s="187">
        <f>H657</f>
        <v>25151.1</v>
      </c>
      <c r="I656" s="187">
        <f t="shared" si="51"/>
        <v>217.70000000000073</v>
      </c>
      <c r="J656" s="189">
        <f t="shared" si="52"/>
        <v>99.141859291728423</v>
      </c>
    </row>
    <row r="657" spans="1:10" ht="25.5">
      <c r="A657" s="16" t="s">
        <v>93</v>
      </c>
      <c r="B657" s="19" t="s">
        <v>273</v>
      </c>
      <c r="C657" s="20" t="s">
        <v>65</v>
      </c>
      <c r="D657" s="20" t="s">
        <v>66</v>
      </c>
      <c r="E657" s="97" t="s">
        <v>464</v>
      </c>
      <c r="F657" s="97" t="s">
        <v>94</v>
      </c>
      <c r="G657" s="187">
        <f>G658</f>
        <v>25368.799999999999</v>
      </c>
      <c r="H657" s="187">
        <f>H658</f>
        <v>25151.1</v>
      </c>
      <c r="I657" s="187">
        <f t="shared" si="51"/>
        <v>217.70000000000073</v>
      </c>
      <c r="J657" s="189">
        <f t="shared" si="52"/>
        <v>99.141859291728423</v>
      </c>
    </row>
    <row r="658" spans="1:10">
      <c r="A658" s="16" t="s">
        <v>97</v>
      </c>
      <c r="B658" s="19" t="s">
        <v>273</v>
      </c>
      <c r="C658" s="20" t="s">
        <v>65</v>
      </c>
      <c r="D658" s="20" t="s">
        <v>66</v>
      </c>
      <c r="E658" s="97" t="s">
        <v>464</v>
      </c>
      <c r="F658" s="97" t="s">
        <v>98</v>
      </c>
      <c r="G658" s="187">
        <f>23429.1+198.7+1741</f>
        <v>25368.799999999999</v>
      </c>
      <c r="H658" s="187">
        <v>25151.1</v>
      </c>
      <c r="I658" s="187">
        <f t="shared" si="51"/>
        <v>217.70000000000073</v>
      </c>
      <c r="J658" s="189">
        <f t="shared" si="52"/>
        <v>99.141859291728423</v>
      </c>
    </row>
    <row r="659" spans="1:10" ht="63.75">
      <c r="A659" s="16" t="s">
        <v>202</v>
      </c>
      <c r="B659" s="19" t="s">
        <v>273</v>
      </c>
      <c r="C659" s="20" t="s">
        <v>65</v>
      </c>
      <c r="D659" s="20" t="s">
        <v>66</v>
      </c>
      <c r="E659" s="97" t="s">
        <v>465</v>
      </c>
      <c r="F659" s="97"/>
      <c r="G659" s="187">
        <f>G660</f>
        <v>590.5</v>
      </c>
      <c r="H659" s="187">
        <f>H660</f>
        <v>590.4</v>
      </c>
      <c r="I659" s="187">
        <f t="shared" si="51"/>
        <v>0.10000000000002274</v>
      </c>
      <c r="J659" s="189">
        <f t="shared" si="52"/>
        <v>99.983065198983908</v>
      </c>
    </row>
    <row r="660" spans="1:10" ht="25.5">
      <c r="A660" s="16" t="s">
        <v>93</v>
      </c>
      <c r="B660" s="19" t="s">
        <v>273</v>
      </c>
      <c r="C660" s="20" t="s">
        <v>65</v>
      </c>
      <c r="D660" s="20" t="s">
        <v>66</v>
      </c>
      <c r="E660" s="97" t="s">
        <v>465</v>
      </c>
      <c r="F660" s="97" t="s">
        <v>94</v>
      </c>
      <c r="G660" s="187">
        <f>G661</f>
        <v>590.5</v>
      </c>
      <c r="H660" s="187">
        <f>H661</f>
        <v>590.4</v>
      </c>
      <c r="I660" s="187">
        <f t="shared" si="51"/>
        <v>0.10000000000002274</v>
      </c>
      <c r="J660" s="189">
        <f t="shared" si="52"/>
        <v>99.983065198983908</v>
      </c>
    </row>
    <row r="661" spans="1:10">
      <c r="A661" s="16" t="s">
        <v>97</v>
      </c>
      <c r="B661" s="19" t="s">
        <v>273</v>
      </c>
      <c r="C661" s="20" t="s">
        <v>65</v>
      </c>
      <c r="D661" s="20" t="s">
        <v>66</v>
      </c>
      <c r="E661" s="97" t="s">
        <v>465</v>
      </c>
      <c r="F661" s="97" t="s">
        <v>98</v>
      </c>
      <c r="G661" s="187">
        <f>700-109.5</f>
        <v>590.5</v>
      </c>
      <c r="H661" s="187">
        <v>590.4</v>
      </c>
      <c r="I661" s="187">
        <f t="shared" si="51"/>
        <v>0.10000000000002274</v>
      </c>
      <c r="J661" s="189">
        <f t="shared" si="52"/>
        <v>99.983065198983908</v>
      </c>
    </row>
    <row r="662" spans="1:10">
      <c r="A662" s="16" t="s">
        <v>174</v>
      </c>
      <c r="B662" s="19" t="s">
        <v>273</v>
      </c>
      <c r="C662" s="20" t="s">
        <v>65</v>
      </c>
      <c r="D662" s="20" t="s">
        <v>66</v>
      </c>
      <c r="E662" s="97" t="s">
        <v>466</v>
      </c>
      <c r="F662" s="97"/>
      <c r="G662" s="187">
        <f>G663</f>
        <v>70</v>
      </c>
      <c r="H662" s="187">
        <f>H663</f>
        <v>23</v>
      </c>
      <c r="I662" s="187">
        <f t="shared" si="51"/>
        <v>47</v>
      </c>
      <c r="J662" s="189">
        <f t="shared" si="52"/>
        <v>32.857142857142854</v>
      </c>
    </row>
    <row r="663" spans="1:10" ht="25.5">
      <c r="A663" s="16" t="s">
        <v>93</v>
      </c>
      <c r="B663" s="19" t="s">
        <v>273</v>
      </c>
      <c r="C663" s="20" t="s">
        <v>65</v>
      </c>
      <c r="D663" s="20" t="s">
        <v>66</v>
      </c>
      <c r="E663" s="97" t="s">
        <v>466</v>
      </c>
      <c r="F663" s="97" t="s">
        <v>94</v>
      </c>
      <c r="G663" s="187">
        <f>G664</f>
        <v>70</v>
      </c>
      <c r="H663" s="187">
        <f>H664</f>
        <v>23</v>
      </c>
      <c r="I663" s="187">
        <f t="shared" si="51"/>
        <v>47</v>
      </c>
      <c r="J663" s="189">
        <f t="shared" si="52"/>
        <v>32.857142857142854</v>
      </c>
    </row>
    <row r="664" spans="1:10">
      <c r="A664" s="16" t="s">
        <v>97</v>
      </c>
      <c r="B664" s="19" t="s">
        <v>273</v>
      </c>
      <c r="C664" s="20" t="s">
        <v>65</v>
      </c>
      <c r="D664" s="20" t="s">
        <v>66</v>
      </c>
      <c r="E664" s="97" t="s">
        <v>466</v>
      </c>
      <c r="F664" s="97" t="s">
        <v>98</v>
      </c>
      <c r="G664" s="187">
        <v>70</v>
      </c>
      <c r="H664" s="187">
        <v>23</v>
      </c>
      <c r="I664" s="187">
        <f t="shared" si="51"/>
        <v>47</v>
      </c>
      <c r="J664" s="189">
        <f t="shared" si="52"/>
        <v>32.857142857142854</v>
      </c>
    </row>
    <row r="665" spans="1:10">
      <c r="A665" s="14" t="s">
        <v>334</v>
      </c>
      <c r="B665" s="35" t="s">
        <v>273</v>
      </c>
      <c r="C665" s="31" t="s">
        <v>65</v>
      </c>
      <c r="D665" s="31" t="s">
        <v>65</v>
      </c>
      <c r="E665" s="100"/>
      <c r="F665" s="100"/>
      <c r="G665" s="187">
        <f>G667+G672+G690</f>
        <v>1859.8</v>
      </c>
      <c r="H665" s="187">
        <f>H667+H672+H690</f>
        <v>1859.8</v>
      </c>
      <c r="I665" s="187">
        <f t="shared" si="51"/>
        <v>0</v>
      </c>
      <c r="J665" s="189">
        <f t="shared" si="52"/>
        <v>100</v>
      </c>
    </row>
    <row r="666" spans="1:10">
      <c r="A666" s="29" t="s">
        <v>430</v>
      </c>
      <c r="B666" s="19" t="s">
        <v>273</v>
      </c>
      <c r="C666" s="20" t="s">
        <v>65</v>
      </c>
      <c r="D666" s="20" t="s">
        <v>65</v>
      </c>
      <c r="E666" s="102" t="s">
        <v>431</v>
      </c>
      <c r="F666" s="97"/>
      <c r="G666" s="187">
        <f>G667+G672</f>
        <v>1824.8</v>
      </c>
      <c r="H666" s="187">
        <f>H667+H672</f>
        <v>1824.8</v>
      </c>
      <c r="I666" s="187">
        <f t="shared" si="51"/>
        <v>0</v>
      </c>
      <c r="J666" s="189">
        <f t="shared" si="52"/>
        <v>100</v>
      </c>
    </row>
    <row r="667" spans="1:10" ht="25.5">
      <c r="A667" s="28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667" s="19" t="s">
        <v>273</v>
      </c>
      <c r="C667" s="20" t="s">
        <v>65</v>
      </c>
      <c r="D667" s="20" t="s">
        <v>65</v>
      </c>
      <c r="E667" s="102" t="str">
        <f>'МП пр.5'!B45</f>
        <v xml:space="preserve">7В 0 00 00000 </v>
      </c>
      <c r="F667" s="97"/>
      <c r="G667" s="187">
        <f t="shared" ref="G667:H670" si="53">G668</f>
        <v>1524.8</v>
      </c>
      <c r="H667" s="187">
        <f t="shared" si="53"/>
        <v>1524.8</v>
      </c>
      <c r="I667" s="187">
        <f t="shared" si="51"/>
        <v>0</v>
      </c>
      <c r="J667" s="189">
        <f t="shared" si="52"/>
        <v>100</v>
      </c>
    </row>
    <row r="668" spans="1:10" ht="38.25">
      <c r="A668" s="28" t="str">
        <f>'МП пр.5'!A46</f>
        <v>Основное мероприятие "Организация работы по совершенствованию системы патриотического воспитания жителей"</v>
      </c>
      <c r="B668" s="19" t="s">
        <v>273</v>
      </c>
      <c r="C668" s="20" t="s">
        <v>65</v>
      </c>
      <c r="D668" s="20" t="s">
        <v>65</v>
      </c>
      <c r="E668" s="102" t="str">
        <f>'МП пр.5'!B46</f>
        <v xml:space="preserve">7В 0 01 00000 </v>
      </c>
      <c r="F668" s="97"/>
      <c r="G668" s="187">
        <f t="shared" si="53"/>
        <v>1524.8</v>
      </c>
      <c r="H668" s="187">
        <f t="shared" si="53"/>
        <v>1524.8</v>
      </c>
      <c r="I668" s="187">
        <f t="shared" si="51"/>
        <v>0</v>
      </c>
      <c r="J668" s="189">
        <f t="shared" si="52"/>
        <v>100</v>
      </c>
    </row>
    <row r="669" spans="1:10">
      <c r="A669" s="28" t="str">
        <f>'МП пр.5'!A47</f>
        <v>Мероприятия патриотической направленности</v>
      </c>
      <c r="B669" s="19" t="s">
        <v>273</v>
      </c>
      <c r="C669" s="20" t="s">
        <v>65</v>
      </c>
      <c r="D669" s="20" t="s">
        <v>65</v>
      </c>
      <c r="E669" s="102" t="str">
        <f>'МП пр.5'!B47</f>
        <v xml:space="preserve">7В 0 01 92400 </v>
      </c>
      <c r="F669" s="97"/>
      <c r="G669" s="187">
        <f t="shared" si="53"/>
        <v>1524.8</v>
      </c>
      <c r="H669" s="187">
        <f t="shared" si="53"/>
        <v>1524.8</v>
      </c>
      <c r="I669" s="187">
        <f t="shared" si="51"/>
        <v>0</v>
      </c>
      <c r="J669" s="189">
        <f t="shared" si="52"/>
        <v>100</v>
      </c>
    </row>
    <row r="670" spans="1:10" ht="25.5">
      <c r="A670" s="16" t="s">
        <v>331</v>
      </c>
      <c r="B670" s="19" t="s">
        <v>273</v>
      </c>
      <c r="C670" s="20" t="s">
        <v>65</v>
      </c>
      <c r="D670" s="20" t="s">
        <v>65</v>
      </c>
      <c r="E670" s="102" t="s">
        <v>242</v>
      </c>
      <c r="F670" s="97" t="s">
        <v>92</v>
      </c>
      <c r="G670" s="187">
        <f t="shared" si="53"/>
        <v>1524.8</v>
      </c>
      <c r="H670" s="187">
        <f t="shared" si="53"/>
        <v>1524.8</v>
      </c>
      <c r="I670" s="187">
        <f t="shared" si="51"/>
        <v>0</v>
      </c>
      <c r="J670" s="189">
        <f t="shared" si="52"/>
        <v>100</v>
      </c>
    </row>
    <row r="671" spans="1:10" ht="25.5">
      <c r="A671" s="16" t="s">
        <v>556</v>
      </c>
      <c r="B671" s="19" t="s">
        <v>273</v>
      </c>
      <c r="C671" s="20" t="s">
        <v>65</v>
      </c>
      <c r="D671" s="20" t="s">
        <v>65</v>
      </c>
      <c r="E671" s="102" t="s">
        <v>242</v>
      </c>
      <c r="F671" s="97" t="s">
        <v>89</v>
      </c>
      <c r="G671" s="187">
        <f>'МП пр.5'!G52</f>
        <v>1524.8</v>
      </c>
      <c r="H671" s="187">
        <f>'МП пр.5'!H52</f>
        <v>1524.8</v>
      </c>
      <c r="I671" s="187">
        <f t="shared" si="51"/>
        <v>0</v>
      </c>
      <c r="J671" s="189">
        <f t="shared" si="52"/>
        <v>100</v>
      </c>
    </row>
    <row r="672" spans="1:10" ht="25.5">
      <c r="A672" s="28" t="str">
        <f>'МП пр.5'!A207</f>
        <v>Муниципальная программа  "Развитие молодежной политики в Сусуманском городском округе  на 2018-2022 годы"</v>
      </c>
      <c r="B672" s="19" t="s">
        <v>273</v>
      </c>
      <c r="C672" s="20" t="s">
        <v>65</v>
      </c>
      <c r="D672" s="20" t="s">
        <v>65</v>
      </c>
      <c r="E672" s="102" t="str">
        <f>'МП пр.5'!B207</f>
        <v xml:space="preserve">7М 0 00 00000 </v>
      </c>
      <c r="F672" s="97"/>
      <c r="G672" s="187">
        <f>G673+G677</f>
        <v>300</v>
      </c>
      <c r="H672" s="187">
        <f>H673+H677</f>
        <v>300</v>
      </c>
      <c r="I672" s="187">
        <f t="shared" si="51"/>
        <v>0</v>
      </c>
      <c r="J672" s="189">
        <f t="shared" si="52"/>
        <v>100</v>
      </c>
    </row>
    <row r="673" spans="1:10">
      <c r="A673" s="28" t="str">
        <f>'МП пр.5'!A208</f>
        <v>Основное мероприятие "Организационная работа"</v>
      </c>
      <c r="B673" s="19" t="s">
        <v>273</v>
      </c>
      <c r="C673" s="20" t="s">
        <v>65</v>
      </c>
      <c r="D673" s="20" t="s">
        <v>65</v>
      </c>
      <c r="E673" s="102" t="str">
        <f>'МП пр.5'!B208</f>
        <v xml:space="preserve">7М 0 01 00000 </v>
      </c>
      <c r="F673" s="97"/>
      <c r="G673" s="187">
        <f t="shared" ref="G673:H675" si="54">G674</f>
        <v>50</v>
      </c>
      <c r="H673" s="187">
        <f t="shared" si="54"/>
        <v>50</v>
      </c>
      <c r="I673" s="187">
        <f t="shared" si="51"/>
        <v>0</v>
      </c>
      <c r="J673" s="189">
        <f t="shared" si="52"/>
        <v>100</v>
      </c>
    </row>
    <row r="674" spans="1:10" ht="25.5">
      <c r="A674" s="28" t="str">
        <f>'МП пр.5'!A209</f>
        <v>Материально- техническое и методологическое обеспечение в сфере молодежной политики</v>
      </c>
      <c r="B674" s="19" t="s">
        <v>273</v>
      </c>
      <c r="C674" s="20" t="s">
        <v>65</v>
      </c>
      <c r="D674" s="20" t="s">
        <v>65</v>
      </c>
      <c r="E674" s="102" t="str">
        <f>'МП пр.5'!B209</f>
        <v xml:space="preserve">7М 0 01 92530 </v>
      </c>
      <c r="F674" s="97"/>
      <c r="G674" s="187">
        <f t="shared" si="54"/>
        <v>50</v>
      </c>
      <c r="H674" s="187">
        <f t="shared" si="54"/>
        <v>50</v>
      </c>
      <c r="I674" s="187">
        <f t="shared" si="51"/>
        <v>0</v>
      </c>
      <c r="J674" s="189">
        <f t="shared" si="52"/>
        <v>100</v>
      </c>
    </row>
    <row r="675" spans="1:10" ht="25.5">
      <c r="A675" s="16" t="s">
        <v>331</v>
      </c>
      <c r="B675" s="19" t="s">
        <v>273</v>
      </c>
      <c r="C675" s="20" t="s">
        <v>65</v>
      </c>
      <c r="D675" s="20" t="s">
        <v>65</v>
      </c>
      <c r="E675" s="102" t="s">
        <v>367</v>
      </c>
      <c r="F675" s="97" t="s">
        <v>92</v>
      </c>
      <c r="G675" s="187">
        <f t="shared" si="54"/>
        <v>50</v>
      </c>
      <c r="H675" s="187">
        <f t="shared" si="54"/>
        <v>50</v>
      </c>
      <c r="I675" s="187">
        <f t="shared" si="51"/>
        <v>0</v>
      </c>
      <c r="J675" s="189">
        <f t="shared" si="52"/>
        <v>100</v>
      </c>
    </row>
    <row r="676" spans="1:10" ht="25.5">
      <c r="A676" s="16" t="s">
        <v>556</v>
      </c>
      <c r="B676" s="19" t="s">
        <v>273</v>
      </c>
      <c r="C676" s="20" t="s">
        <v>65</v>
      </c>
      <c r="D676" s="20" t="s">
        <v>65</v>
      </c>
      <c r="E676" s="102" t="s">
        <v>367</v>
      </c>
      <c r="F676" s="97" t="s">
        <v>89</v>
      </c>
      <c r="G676" s="187">
        <f>'МП пр.5'!G214</f>
        <v>50</v>
      </c>
      <c r="H676" s="187">
        <f>'МП пр.5'!H214</f>
        <v>50</v>
      </c>
      <c r="I676" s="187">
        <f t="shared" si="51"/>
        <v>0</v>
      </c>
      <c r="J676" s="189">
        <f t="shared" si="52"/>
        <v>100</v>
      </c>
    </row>
    <row r="677" spans="1:10">
      <c r="A677" s="28" t="str">
        <f>'МП пр.5'!A215</f>
        <v>Основное мероприятие "Культурно- массовая работа"</v>
      </c>
      <c r="B677" s="19" t="s">
        <v>273</v>
      </c>
      <c r="C677" s="20" t="s">
        <v>65</v>
      </c>
      <c r="D677" s="20" t="s">
        <v>65</v>
      </c>
      <c r="E677" s="102" t="str">
        <f>'МП пр.5'!B215</f>
        <v xml:space="preserve">7М 0 02 00000 </v>
      </c>
      <c r="F677" s="97"/>
      <c r="G677" s="187">
        <f>G678+G681+G684+G687</f>
        <v>250</v>
      </c>
      <c r="H677" s="187">
        <f>H678+H681+H684+H687</f>
        <v>250</v>
      </c>
      <c r="I677" s="187">
        <f t="shared" si="51"/>
        <v>0</v>
      </c>
      <c r="J677" s="189">
        <f t="shared" si="52"/>
        <v>100</v>
      </c>
    </row>
    <row r="678" spans="1:10">
      <c r="A678" s="28" t="str">
        <f>'МП пр.5'!A216</f>
        <v>Мероприятия, проводимые с участием молодежи</v>
      </c>
      <c r="B678" s="19" t="s">
        <v>273</v>
      </c>
      <c r="C678" s="20" t="s">
        <v>65</v>
      </c>
      <c r="D678" s="20" t="s">
        <v>65</v>
      </c>
      <c r="E678" s="102" t="str">
        <f>'МП пр.5'!B216</f>
        <v xml:space="preserve">7М 0 02 92600 </v>
      </c>
      <c r="F678" s="97"/>
      <c r="G678" s="187">
        <f>G679</f>
        <v>95</v>
      </c>
      <c r="H678" s="187">
        <f>H679</f>
        <v>95</v>
      </c>
      <c r="I678" s="187">
        <f t="shared" si="51"/>
        <v>0</v>
      </c>
      <c r="J678" s="189">
        <f t="shared" si="52"/>
        <v>100</v>
      </c>
    </row>
    <row r="679" spans="1:10" ht="25.5">
      <c r="A679" s="16" t="s">
        <v>331</v>
      </c>
      <c r="B679" s="19" t="s">
        <v>273</v>
      </c>
      <c r="C679" s="20" t="s">
        <v>65</v>
      </c>
      <c r="D679" s="20" t="s">
        <v>65</v>
      </c>
      <c r="E679" s="102" t="s">
        <v>250</v>
      </c>
      <c r="F679" s="97" t="s">
        <v>92</v>
      </c>
      <c r="G679" s="187">
        <f>G680</f>
        <v>95</v>
      </c>
      <c r="H679" s="187">
        <f>H680</f>
        <v>95</v>
      </c>
      <c r="I679" s="187">
        <f t="shared" si="51"/>
        <v>0</v>
      </c>
      <c r="J679" s="189">
        <f t="shared" si="52"/>
        <v>100</v>
      </c>
    </row>
    <row r="680" spans="1:10" ht="25.5">
      <c r="A680" s="16" t="s">
        <v>556</v>
      </c>
      <c r="B680" s="19" t="s">
        <v>273</v>
      </c>
      <c r="C680" s="20" t="s">
        <v>65</v>
      </c>
      <c r="D680" s="20" t="s">
        <v>65</v>
      </c>
      <c r="E680" s="102" t="s">
        <v>250</v>
      </c>
      <c r="F680" s="97" t="s">
        <v>89</v>
      </c>
      <c r="G680" s="187">
        <f>'МП пр.5'!G221</f>
        <v>95</v>
      </c>
      <c r="H680" s="187">
        <f>'МП пр.5'!H221</f>
        <v>95</v>
      </c>
      <c r="I680" s="187">
        <f t="shared" si="51"/>
        <v>0</v>
      </c>
      <c r="J680" s="189">
        <f t="shared" si="52"/>
        <v>100</v>
      </c>
    </row>
    <row r="681" spans="1:10" ht="25.5">
      <c r="A681" s="28" t="str">
        <f>'МП пр.5'!A222</f>
        <v>Участие в областных и районных мероприятиях, семинарах, сборах, конкурсах</v>
      </c>
      <c r="B681" s="19" t="s">
        <v>273</v>
      </c>
      <c r="C681" s="20" t="s">
        <v>65</v>
      </c>
      <c r="D681" s="20" t="s">
        <v>65</v>
      </c>
      <c r="E681" s="102" t="str">
        <f>'МП пр.5'!B222</f>
        <v xml:space="preserve">7М 0 02 92700 </v>
      </c>
      <c r="F681" s="97"/>
      <c r="G681" s="187">
        <f>G682</f>
        <v>100</v>
      </c>
      <c r="H681" s="187">
        <f>H682</f>
        <v>100</v>
      </c>
      <c r="I681" s="187">
        <f t="shared" si="51"/>
        <v>0</v>
      </c>
      <c r="J681" s="189">
        <f t="shared" si="52"/>
        <v>100</v>
      </c>
    </row>
    <row r="682" spans="1:10" ht="51">
      <c r="A682" s="28" t="s">
        <v>90</v>
      </c>
      <c r="B682" s="19" t="s">
        <v>273</v>
      </c>
      <c r="C682" s="20" t="s">
        <v>65</v>
      </c>
      <c r="D682" s="20" t="s">
        <v>65</v>
      </c>
      <c r="E682" s="102" t="s">
        <v>251</v>
      </c>
      <c r="F682" s="97" t="s">
        <v>91</v>
      </c>
      <c r="G682" s="187">
        <f>G683</f>
        <v>100</v>
      </c>
      <c r="H682" s="187">
        <f>H683</f>
        <v>100</v>
      </c>
      <c r="I682" s="187">
        <f t="shared" si="51"/>
        <v>0</v>
      </c>
      <c r="J682" s="189">
        <f t="shared" si="52"/>
        <v>100</v>
      </c>
    </row>
    <row r="683" spans="1:10">
      <c r="A683" s="16" t="s">
        <v>206</v>
      </c>
      <c r="B683" s="19" t="s">
        <v>273</v>
      </c>
      <c r="C683" s="20" t="s">
        <v>65</v>
      </c>
      <c r="D683" s="20" t="s">
        <v>65</v>
      </c>
      <c r="E683" s="102" t="s">
        <v>251</v>
      </c>
      <c r="F683" s="97" t="s">
        <v>207</v>
      </c>
      <c r="G683" s="187">
        <f>'МП пр.5'!G227</f>
        <v>100</v>
      </c>
      <c r="H683" s="187">
        <f>'МП пр.5'!H227</f>
        <v>100</v>
      </c>
      <c r="I683" s="187">
        <f t="shared" si="51"/>
        <v>0</v>
      </c>
      <c r="J683" s="189">
        <f t="shared" si="52"/>
        <v>100</v>
      </c>
    </row>
    <row r="684" spans="1:10">
      <c r="A684" s="28" t="str">
        <f>'МП пр.5'!A228</f>
        <v>Работа с молодыми семьями</v>
      </c>
      <c r="B684" s="19" t="s">
        <v>273</v>
      </c>
      <c r="C684" s="20" t="s">
        <v>65</v>
      </c>
      <c r="D684" s="20" t="s">
        <v>65</v>
      </c>
      <c r="E684" s="102" t="str">
        <f>'МП пр.5'!B228</f>
        <v>7М 0 02 92800</v>
      </c>
      <c r="F684" s="97"/>
      <c r="G684" s="187">
        <f>G685</f>
        <v>35</v>
      </c>
      <c r="H684" s="187">
        <f>H685</f>
        <v>35</v>
      </c>
      <c r="I684" s="187">
        <f t="shared" si="51"/>
        <v>0</v>
      </c>
      <c r="J684" s="189">
        <f t="shared" si="52"/>
        <v>100</v>
      </c>
    </row>
    <row r="685" spans="1:10" ht="25.5">
      <c r="A685" s="16" t="s">
        <v>331</v>
      </c>
      <c r="B685" s="19" t="s">
        <v>273</v>
      </c>
      <c r="C685" s="20" t="s">
        <v>65</v>
      </c>
      <c r="D685" s="20" t="s">
        <v>65</v>
      </c>
      <c r="E685" s="102" t="s">
        <v>252</v>
      </c>
      <c r="F685" s="97" t="s">
        <v>92</v>
      </c>
      <c r="G685" s="187">
        <f>G686</f>
        <v>35</v>
      </c>
      <c r="H685" s="187">
        <f>H686</f>
        <v>35</v>
      </c>
      <c r="I685" s="187">
        <f t="shared" si="51"/>
        <v>0</v>
      </c>
      <c r="J685" s="189">
        <f t="shared" si="52"/>
        <v>100</v>
      </c>
    </row>
    <row r="686" spans="1:10" ht="25.5">
      <c r="A686" s="16" t="s">
        <v>556</v>
      </c>
      <c r="B686" s="19" t="s">
        <v>273</v>
      </c>
      <c r="C686" s="20" t="s">
        <v>65</v>
      </c>
      <c r="D686" s="20" t="s">
        <v>65</v>
      </c>
      <c r="E686" s="102" t="s">
        <v>252</v>
      </c>
      <c r="F686" s="97" t="s">
        <v>89</v>
      </c>
      <c r="G686" s="187">
        <f>'МП пр.5'!G233</f>
        <v>35</v>
      </c>
      <c r="H686" s="187">
        <f>'МП пр.5'!H233</f>
        <v>35</v>
      </c>
      <c r="I686" s="187">
        <f t="shared" si="51"/>
        <v>0</v>
      </c>
      <c r="J686" s="189">
        <f t="shared" si="52"/>
        <v>100</v>
      </c>
    </row>
    <row r="687" spans="1:10" ht="25.5">
      <c r="A687" s="28" t="str">
        <f>'МП пр.5'!A234</f>
        <v>Работа по пропаганде здорового образа жизни и профилактике правонарушений</v>
      </c>
      <c r="B687" s="19" t="s">
        <v>273</v>
      </c>
      <c r="C687" s="20" t="s">
        <v>65</v>
      </c>
      <c r="D687" s="20" t="s">
        <v>65</v>
      </c>
      <c r="E687" s="102" t="str">
        <f>'МП пр.5'!B234</f>
        <v>7М 0 02 93000</v>
      </c>
      <c r="F687" s="97"/>
      <c r="G687" s="187">
        <f>G688</f>
        <v>20</v>
      </c>
      <c r="H687" s="187">
        <f>H688</f>
        <v>20</v>
      </c>
      <c r="I687" s="187">
        <f t="shared" si="51"/>
        <v>0</v>
      </c>
      <c r="J687" s="189">
        <f t="shared" si="52"/>
        <v>100</v>
      </c>
    </row>
    <row r="688" spans="1:10" ht="25.5">
      <c r="A688" s="16" t="s">
        <v>331</v>
      </c>
      <c r="B688" s="19" t="s">
        <v>273</v>
      </c>
      <c r="C688" s="20" t="s">
        <v>65</v>
      </c>
      <c r="D688" s="20" t="s">
        <v>65</v>
      </c>
      <c r="E688" s="102" t="s">
        <v>253</v>
      </c>
      <c r="F688" s="97" t="s">
        <v>92</v>
      </c>
      <c r="G688" s="187">
        <f>G689</f>
        <v>20</v>
      </c>
      <c r="H688" s="187">
        <f>H689</f>
        <v>20</v>
      </c>
      <c r="I688" s="187">
        <f t="shared" si="51"/>
        <v>0</v>
      </c>
      <c r="J688" s="189">
        <f t="shared" si="52"/>
        <v>100</v>
      </c>
    </row>
    <row r="689" spans="1:15" ht="25.5">
      <c r="A689" s="16" t="s">
        <v>556</v>
      </c>
      <c r="B689" s="19" t="s">
        <v>273</v>
      </c>
      <c r="C689" s="20" t="s">
        <v>65</v>
      </c>
      <c r="D689" s="20" t="s">
        <v>65</v>
      </c>
      <c r="E689" s="102" t="s">
        <v>253</v>
      </c>
      <c r="F689" s="97" t="s">
        <v>89</v>
      </c>
      <c r="G689" s="187">
        <f>'МП пр.5'!G238</f>
        <v>20</v>
      </c>
      <c r="H689" s="187">
        <f>'МП пр.5'!H238</f>
        <v>20</v>
      </c>
      <c r="I689" s="187">
        <f t="shared" si="51"/>
        <v>0</v>
      </c>
      <c r="J689" s="189">
        <f t="shared" si="52"/>
        <v>100</v>
      </c>
    </row>
    <row r="690" spans="1:15">
      <c r="A690" s="16" t="s">
        <v>47</v>
      </c>
      <c r="B690" s="19" t="s">
        <v>273</v>
      </c>
      <c r="C690" s="20" t="s">
        <v>65</v>
      </c>
      <c r="D690" s="20" t="s">
        <v>65</v>
      </c>
      <c r="E690" s="97" t="s">
        <v>476</v>
      </c>
      <c r="F690" s="97"/>
      <c r="G690" s="187">
        <f t="shared" ref="G690:H692" si="55">G691</f>
        <v>35</v>
      </c>
      <c r="H690" s="187">
        <f t="shared" si="55"/>
        <v>35</v>
      </c>
      <c r="I690" s="187">
        <f t="shared" si="51"/>
        <v>0</v>
      </c>
      <c r="J690" s="189">
        <f t="shared" si="52"/>
        <v>100</v>
      </c>
    </row>
    <row r="691" spans="1:15">
      <c r="A691" s="16" t="s">
        <v>262</v>
      </c>
      <c r="B691" s="19" t="s">
        <v>273</v>
      </c>
      <c r="C691" s="20" t="s">
        <v>65</v>
      </c>
      <c r="D691" s="20" t="s">
        <v>65</v>
      </c>
      <c r="E691" s="97" t="s">
        <v>477</v>
      </c>
      <c r="F691" s="97"/>
      <c r="G691" s="187">
        <f t="shared" si="55"/>
        <v>35</v>
      </c>
      <c r="H691" s="187">
        <f t="shared" si="55"/>
        <v>35</v>
      </c>
      <c r="I691" s="187">
        <f t="shared" si="51"/>
        <v>0</v>
      </c>
      <c r="J691" s="189">
        <f t="shared" si="52"/>
        <v>100</v>
      </c>
    </row>
    <row r="692" spans="1:15" ht="25.5">
      <c r="A692" s="16" t="s">
        <v>331</v>
      </c>
      <c r="B692" s="19" t="s">
        <v>273</v>
      </c>
      <c r="C692" s="20" t="s">
        <v>65</v>
      </c>
      <c r="D692" s="20" t="s">
        <v>65</v>
      </c>
      <c r="E692" s="97" t="s">
        <v>477</v>
      </c>
      <c r="F692" s="97" t="s">
        <v>92</v>
      </c>
      <c r="G692" s="187">
        <f t="shared" si="55"/>
        <v>35</v>
      </c>
      <c r="H692" s="187">
        <f t="shared" si="55"/>
        <v>35</v>
      </c>
      <c r="I692" s="187">
        <f t="shared" si="51"/>
        <v>0</v>
      </c>
      <c r="J692" s="189">
        <f t="shared" si="52"/>
        <v>100</v>
      </c>
    </row>
    <row r="693" spans="1:15" ht="25.5">
      <c r="A693" s="16" t="s">
        <v>556</v>
      </c>
      <c r="B693" s="19" t="s">
        <v>273</v>
      </c>
      <c r="C693" s="20" t="s">
        <v>65</v>
      </c>
      <c r="D693" s="20" t="s">
        <v>65</v>
      </c>
      <c r="E693" s="97" t="s">
        <v>477</v>
      </c>
      <c r="F693" s="97" t="s">
        <v>89</v>
      </c>
      <c r="G693" s="187">
        <v>35</v>
      </c>
      <c r="H693" s="187">
        <v>35</v>
      </c>
      <c r="I693" s="187">
        <f t="shared" si="51"/>
        <v>0</v>
      </c>
      <c r="J693" s="189">
        <f t="shared" si="52"/>
        <v>100</v>
      </c>
    </row>
    <row r="694" spans="1:15">
      <c r="A694" s="15" t="s">
        <v>120</v>
      </c>
      <c r="B694" s="35" t="s">
        <v>273</v>
      </c>
      <c r="C694" s="31" t="s">
        <v>69</v>
      </c>
      <c r="D694" s="31" t="s">
        <v>33</v>
      </c>
      <c r="E694" s="100"/>
      <c r="F694" s="100"/>
      <c r="G694" s="185">
        <f>G695+G759</f>
        <v>44904.2</v>
      </c>
      <c r="H694" s="185">
        <f>H695+H759</f>
        <v>43442.9</v>
      </c>
      <c r="I694" s="187">
        <f t="shared" si="51"/>
        <v>1461.2999999999956</v>
      </c>
      <c r="J694" s="189">
        <f t="shared" si="52"/>
        <v>96.745738705956242</v>
      </c>
    </row>
    <row r="695" spans="1:15">
      <c r="A695" s="15" t="s">
        <v>11</v>
      </c>
      <c r="B695" s="35" t="s">
        <v>273</v>
      </c>
      <c r="C695" s="31" t="s">
        <v>69</v>
      </c>
      <c r="D695" s="31" t="s">
        <v>62</v>
      </c>
      <c r="E695" s="100"/>
      <c r="F695" s="100"/>
      <c r="G695" s="185">
        <f>G697+G717+G731+G741+G751</f>
        <v>30683.899999999998</v>
      </c>
      <c r="H695" s="185">
        <f>H697+H717+H731+H741+H751</f>
        <v>30044.100000000002</v>
      </c>
      <c r="I695" s="187">
        <f t="shared" si="51"/>
        <v>639.79999999999563</v>
      </c>
      <c r="J695" s="189">
        <f t="shared" si="52"/>
        <v>97.914867406033807</v>
      </c>
      <c r="L695" s="119">
        <f>G699+G709</f>
        <v>1358.6</v>
      </c>
      <c r="M695" s="119">
        <f>H699+H709</f>
        <v>1358.6000000000001</v>
      </c>
      <c r="N695" s="119">
        <f>M695-L695</f>
        <v>0</v>
      </c>
      <c r="O695" s="11">
        <f>M695/L695*100</f>
        <v>100.00000000000003</v>
      </c>
    </row>
    <row r="696" spans="1:15">
      <c r="A696" s="16" t="s">
        <v>430</v>
      </c>
      <c r="B696" s="19" t="s">
        <v>273</v>
      </c>
      <c r="C696" s="20" t="s">
        <v>69</v>
      </c>
      <c r="D696" s="20" t="s">
        <v>62</v>
      </c>
      <c r="E696" s="102" t="s">
        <v>431</v>
      </c>
      <c r="F696" s="97"/>
      <c r="G696" s="187">
        <f>G697+G717</f>
        <v>2106.7999999999997</v>
      </c>
      <c r="H696" s="187">
        <f>H697+H717</f>
        <v>2086.8000000000002</v>
      </c>
      <c r="I696" s="187">
        <f t="shared" si="51"/>
        <v>19.999999999999545</v>
      </c>
      <c r="J696" s="189">
        <f t="shared" si="52"/>
        <v>99.050692994114314</v>
      </c>
      <c r="L696" s="119"/>
      <c r="M696" s="119"/>
      <c r="N696" s="119"/>
    </row>
    <row r="697" spans="1:15" ht="25.5">
      <c r="A697" s="28" t="str">
        <f>'МП пр.5'!A118</f>
        <v>Муниципальная программа "Развитие культуры в Сусуманском городском округе на 2018- 2022 годы"</v>
      </c>
      <c r="B697" s="19" t="s">
        <v>273</v>
      </c>
      <c r="C697" s="20" t="s">
        <v>69</v>
      </c>
      <c r="D697" s="20" t="s">
        <v>62</v>
      </c>
      <c r="E697" s="102" t="str">
        <f>'МП пр.5'!B118</f>
        <v xml:space="preserve">7Е 0 00 00000 </v>
      </c>
      <c r="F697" s="97"/>
      <c r="G697" s="187">
        <f>G698+G709+G705+G713</f>
        <v>1693.1</v>
      </c>
      <c r="H697" s="187">
        <f>H698+H709+H705+H713</f>
        <v>1693.1000000000001</v>
      </c>
      <c r="I697" s="187">
        <f t="shared" si="51"/>
        <v>0</v>
      </c>
      <c r="J697" s="189">
        <f t="shared" si="52"/>
        <v>100.00000000000003</v>
      </c>
    </row>
    <row r="698" spans="1:15" ht="25.5">
      <c r="A698" s="16" t="str">
        <f>'МП пр.5'!A119</f>
        <v>Основное мероприятие "Комплектование книжных фондов библиотек Сусуманского городского округа"</v>
      </c>
      <c r="B698" s="19" t="s">
        <v>273</v>
      </c>
      <c r="C698" s="20" t="s">
        <v>69</v>
      </c>
      <c r="D698" s="20" t="s">
        <v>62</v>
      </c>
      <c r="E698" s="102" t="str">
        <f>'МП пр.5'!B119</f>
        <v xml:space="preserve">7Е 0 01 00000 </v>
      </c>
      <c r="F698" s="97"/>
      <c r="G698" s="187">
        <f>G699+G702</f>
        <v>51.4</v>
      </c>
      <c r="H698" s="187">
        <f>H699+H702</f>
        <v>51.4</v>
      </c>
      <c r="I698" s="187">
        <f t="shared" si="51"/>
        <v>0</v>
      </c>
      <c r="J698" s="189">
        <f t="shared" si="52"/>
        <v>100</v>
      </c>
    </row>
    <row r="699" spans="1:15">
      <c r="A699" s="16" t="str">
        <f>'МП пр.5'!A120</f>
        <v>Приобретение литературно- художественных изданий</v>
      </c>
      <c r="B699" s="19" t="s">
        <v>273</v>
      </c>
      <c r="C699" s="20" t="s">
        <v>69</v>
      </c>
      <c r="D699" s="20" t="s">
        <v>62</v>
      </c>
      <c r="E699" s="97" t="str">
        <f>'МП пр.5'!B120</f>
        <v>7Е 0 01 73160</v>
      </c>
      <c r="F699" s="97"/>
      <c r="G699" s="187">
        <f>G700</f>
        <v>41.4</v>
      </c>
      <c r="H699" s="187">
        <f>H700</f>
        <v>41.4</v>
      </c>
      <c r="I699" s="187">
        <f t="shared" si="51"/>
        <v>0</v>
      </c>
      <c r="J699" s="189">
        <f t="shared" si="52"/>
        <v>100</v>
      </c>
    </row>
    <row r="700" spans="1:15" ht="25.5">
      <c r="A700" s="16" t="s">
        <v>93</v>
      </c>
      <c r="B700" s="19" t="s">
        <v>273</v>
      </c>
      <c r="C700" s="20" t="s">
        <v>69</v>
      </c>
      <c r="D700" s="20" t="s">
        <v>62</v>
      </c>
      <c r="E700" s="97" t="s">
        <v>312</v>
      </c>
      <c r="F700" s="97" t="s">
        <v>94</v>
      </c>
      <c r="G700" s="187">
        <f>G701</f>
        <v>41.4</v>
      </c>
      <c r="H700" s="187">
        <f>H701</f>
        <v>41.4</v>
      </c>
      <c r="I700" s="187">
        <f t="shared" si="51"/>
        <v>0</v>
      </c>
      <c r="J700" s="189">
        <f t="shared" si="52"/>
        <v>100</v>
      </c>
    </row>
    <row r="701" spans="1:15">
      <c r="A701" s="16" t="s">
        <v>97</v>
      </c>
      <c r="B701" s="19" t="s">
        <v>273</v>
      </c>
      <c r="C701" s="20" t="s">
        <v>69</v>
      </c>
      <c r="D701" s="20" t="s">
        <v>62</v>
      </c>
      <c r="E701" s="97" t="s">
        <v>312</v>
      </c>
      <c r="F701" s="97" t="s">
        <v>98</v>
      </c>
      <c r="G701" s="187">
        <f>'МП пр.5'!G125</f>
        <v>41.4</v>
      </c>
      <c r="H701" s="187">
        <f>'МП пр.5'!H125</f>
        <v>41.4</v>
      </c>
      <c r="I701" s="187">
        <f t="shared" si="51"/>
        <v>0</v>
      </c>
      <c r="J701" s="189">
        <f t="shared" si="52"/>
        <v>100</v>
      </c>
    </row>
    <row r="702" spans="1:15" ht="25.5">
      <c r="A702" s="16" t="str">
        <f>'МП пр.5'!A126</f>
        <v>Приобретение литературно- художественных изданий за счет средств местного бюджета</v>
      </c>
      <c r="B702" s="19" t="s">
        <v>273</v>
      </c>
      <c r="C702" s="20" t="s">
        <v>69</v>
      </c>
      <c r="D702" s="20" t="s">
        <v>62</v>
      </c>
      <c r="E702" s="97" t="str">
        <f>'МП пр.5'!B126</f>
        <v>7Е 0 01 S3160</v>
      </c>
      <c r="F702" s="97"/>
      <c r="G702" s="187">
        <f>G703</f>
        <v>10</v>
      </c>
      <c r="H702" s="187">
        <f>H703</f>
        <v>10</v>
      </c>
      <c r="I702" s="187">
        <f t="shared" si="51"/>
        <v>0</v>
      </c>
      <c r="J702" s="189">
        <f t="shared" si="52"/>
        <v>100</v>
      </c>
    </row>
    <row r="703" spans="1:15" ht="25.5">
      <c r="A703" s="16" t="s">
        <v>93</v>
      </c>
      <c r="B703" s="19" t="s">
        <v>273</v>
      </c>
      <c r="C703" s="20" t="s">
        <v>69</v>
      </c>
      <c r="D703" s="20" t="s">
        <v>62</v>
      </c>
      <c r="E703" s="97" t="s">
        <v>313</v>
      </c>
      <c r="F703" s="97" t="s">
        <v>94</v>
      </c>
      <c r="G703" s="187">
        <f>G704</f>
        <v>10</v>
      </c>
      <c r="H703" s="187">
        <f>H704</f>
        <v>10</v>
      </c>
      <c r="I703" s="187">
        <f t="shared" si="51"/>
        <v>0</v>
      </c>
      <c r="J703" s="189">
        <f t="shared" si="52"/>
        <v>100</v>
      </c>
    </row>
    <row r="704" spans="1:15">
      <c r="A704" s="16" t="s">
        <v>97</v>
      </c>
      <c r="B704" s="19" t="s">
        <v>273</v>
      </c>
      <c r="C704" s="20" t="s">
        <v>69</v>
      </c>
      <c r="D704" s="20" t="s">
        <v>62</v>
      </c>
      <c r="E704" s="97" t="s">
        <v>313</v>
      </c>
      <c r="F704" s="97" t="s">
        <v>98</v>
      </c>
      <c r="G704" s="187">
        <f>'МП пр.5'!G131</f>
        <v>10</v>
      </c>
      <c r="H704" s="187">
        <f>'МП пр.5'!H131</f>
        <v>10</v>
      </c>
      <c r="I704" s="187">
        <f t="shared" si="51"/>
        <v>0</v>
      </c>
      <c r="J704" s="189">
        <f t="shared" si="52"/>
        <v>100</v>
      </c>
    </row>
    <row r="705" spans="1:10" ht="25.5">
      <c r="A705" s="28" t="str">
        <f>'МП пр.5'!A132</f>
        <v>Основное мероприятие "Сохранение культурного наследия и творческого потенциала"</v>
      </c>
      <c r="B705" s="19" t="s">
        <v>273</v>
      </c>
      <c r="C705" s="20" t="s">
        <v>69</v>
      </c>
      <c r="D705" s="20" t="s">
        <v>62</v>
      </c>
      <c r="E705" s="102" t="str">
        <f>'МП пр.5'!B132</f>
        <v xml:space="preserve">7Е 0 02 00000 </v>
      </c>
      <c r="F705" s="97"/>
      <c r="G705" s="187">
        <f t="shared" ref="G705:H707" si="56">G706</f>
        <v>74.5</v>
      </c>
      <c r="H705" s="187">
        <f t="shared" si="56"/>
        <v>74.5</v>
      </c>
      <c r="I705" s="187">
        <f t="shared" si="51"/>
        <v>0</v>
      </c>
      <c r="J705" s="189">
        <f t="shared" si="52"/>
        <v>100</v>
      </c>
    </row>
    <row r="706" spans="1:10" ht="25.5">
      <c r="A706" s="16" t="str">
        <f>'МП пр.5'!A133</f>
        <v>Укрепление материально- технической базы учреждений культуры</v>
      </c>
      <c r="B706" s="19" t="s">
        <v>273</v>
      </c>
      <c r="C706" s="20" t="s">
        <v>69</v>
      </c>
      <c r="D706" s="20" t="s">
        <v>62</v>
      </c>
      <c r="E706" s="102" t="str">
        <f>'МП пр.5'!B133</f>
        <v xml:space="preserve">7Е 0 02 92510 </v>
      </c>
      <c r="F706" s="97"/>
      <c r="G706" s="187">
        <f t="shared" si="56"/>
        <v>74.5</v>
      </c>
      <c r="H706" s="187">
        <f t="shared" si="56"/>
        <v>74.5</v>
      </c>
      <c r="I706" s="187">
        <f t="shared" si="51"/>
        <v>0</v>
      </c>
      <c r="J706" s="189">
        <f t="shared" si="52"/>
        <v>100</v>
      </c>
    </row>
    <row r="707" spans="1:10" ht="25.5">
      <c r="A707" s="16" t="s">
        <v>93</v>
      </c>
      <c r="B707" s="19" t="s">
        <v>273</v>
      </c>
      <c r="C707" s="20" t="s">
        <v>69</v>
      </c>
      <c r="D707" s="20" t="s">
        <v>62</v>
      </c>
      <c r="E707" s="102" t="s">
        <v>357</v>
      </c>
      <c r="F707" s="97" t="s">
        <v>94</v>
      </c>
      <c r="G707" s="187">
        <f t="shared" si="56"/>
        <v>74.5</v>
      </c>
      <c r="H707" s="187">
        <f t="shared" si="56"/>
        <v>74.5</v>
      </c>
      <c r="I707" s="187">
        <f t="shared" si="51"/>
        <v>0</v>
      </c>
      <c r="J707" s="189">
        <f t="shared" si="52"/>
        <v>100</v>
      </c>
    </row>
    <row r="708" spans="1:10">
      <c r="A708" s="16" t="s">
        <v>97</v>
      </c>
      <c r="B708" s="19" t="s">
        <v>273</v>
      </c>
      <c r="C708" s="20" t="s">
        <v>69</v>
      </c>
      <c r="D708" s="20" t="s">
        <v>62</v>
      </c>
      <c r="E708" s="102" t="s">
        <v>357</v>
      </c>
      <c r="F708" s="97" t="s">
        <v>98</v>
      </c>
      <c r="G708" s="187">
        <f>'МП пр.5'!G138</f>
        <v>74.5</v>
      </c>
      <c r="H708" s="187">
        <f>'МП пр.5'!H138</f>
        <v>74.5</v>
      </c>
      <c r="I708" s="187">
        <f t="shared" si="51"/>
        <v>0</v>
      </c>
      <c r="J708" s="189">
        <f t="shared" si="52"/>
        <v>100</v>
      </c>
    </row>
    <row r="709" spans="1:10" ht="51">
      <c r="A709" s="16" t="str">
        <f>'МП пр.5'!A148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709" s="19" t="s">
        <v>273</v>
      </c>
      <c r="C709" s="20" t="s">
        <v>69</v>
      </c>
      <c r="D709" s="20" t="s">
        <v>62</v>
      </c>
      <c r="E709" s="102" t="str">
        <f>'МП пр.5'!B148</f>
        <v xml:space="preserve">7Е 0 03 00000 </v>
      </c>
      <c r="F709" s="97"/>
      <c r="G709" s="187">
        <f t="shared" ref="G709:H711" si="57">G710</f>
        <v>1317.1999999999998</v>
      </c>
      <c r="H709" s="187">
        <f t="shared" si="57"/>
        <v>1317.2</v>
      </c>
      <c r="I709" s="187">
        <f t="shared" si="51"/>
        <v>0</v>
      </c>
      <c r="J709" s="189">
        <f t="shared" si="52"/>
        <v>100.00000000000003</v>
      </c>
    </row>
    <row r="710" spans="1:10" ht="51">
      <c r="A710" s="16" t="str">
        <f>'МП пр.5'!A149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710" s="19" t="s">
        <v>273</v>
      </c>
      <c r="C710" s="20" t="s">
        <v>69</v>
      </c>
      <c r="D710" s="20" t="s">
        <v>62</v>
      </c>
      <c r="E710" s="102" t="str">
        <f>'МП пр.5'!B149</f>
        <v xml:space="preserve">7Е 0 03 75010 </v>
      </c>
      <c r="F710" s="97"/>
      <c r="G710" s="187">
        <f t="shared" si="57"/>
        <v>1317.1999999999998</v>
      </c>
      <c r="H710" s="187">
        <f t="shared" si="57"/>
        <v>1317.2</v>
      </c>
      <c r="I710" s="187">
        <f t="shared" si="51"/>
        <v>0</v>
      </c>
      <c r="J710" s="189">
        <f t="shared" si="52"/>
        <v>100.00000000000003</v>
      </c>
    </row>
    <row r="711" spans="1:10" ht="25.5">
      <c r="A711" s="16" t="s">
        <v>93</v>
      </c>
      <c r="B711" s="19" t="s">
        <v>273</v>
      </c>
      <c r="C711" s="20" t="s">
        <v>69</v>
      </c>
      <c r="D711" s="20" t="s">
        <v>62</v>
      </c>
      <c r="E711" s="102" t="s">
        <v>315</v>
      </c>
      <c r="F711" s="97" t="s">
        <v>94</v>
      </c>
      <c r="G711" s="187">
        <f t="shared" si="57"/>
        <v>1317.1999999999998</v>
      </c>
      <c r="H711" s="187">
        <f t="shared" si="57"/>
        <v>1317.2</v>
      </c>
      <c r="I711" s="187">
        <f t="shared" si="51"/>
        <v>0</v>
      </c>
      <c r="J711" s="189">
        <f t="shared" si="52"/>
        <v>100.00000000000003</v>
      </c>
    </row>
    <row r="712" spans="1:10">
      <c r="A712" s="16" t="s">
        <v>97</v>
      </c>
      <c r="B712" s="19" t="s">
        <v>273</v>
      </c>
      <c r="C712" s="20" t="s">
        <v>69</v>
      </c>
      <c r="D712" s="20" t="s">
        <v>62</v>
      </c>
      <c r="E712" s="102" t="s">
        <v>315</v>
      </c>
      <c r="F712" s="97" t="s">
        <v>98</v>
      </c>
      <c r="G712" s="187">
        <f>'МП пр.5'!G154</f>
        <v>1317.1999999999998</v>
      </c>
      <c r="H712" s="187">
        <f>'МП пр.5'!H154</f>
        <v>1317.2</v>
      </c>
      <c r="I712" s="187">
        <f t="shared" si="51"/>
        <v>0</v>
      </c>
      <c r="J712" s="189">
        <f t="shared" si="52"/>
        <v>100.00000000000003</v>
      </c>
    </row>
    <row r="713" spans="1:10" ht="25.5">
      <c r="A713" s="16" t="str">
        <f>'МП пр.5'!A155</f>
        <v>Основное мероприятие "Формирование доступной среды в учреждениях культуры и искусства"</v>
      </c>
      <c r="B713" s="19" t="s">
        <v>273</v>
      </c>
      <c r="C713" s="20" t="s">
        <v>69</v>
      </c>
      <c r="D713" s="20" t="s">
        <v>62</v>
      </c>
      <c r="E713" s="102" t="str">
        <f>'МП пр.5'!B155</f>
        <v xml:space="preserve">7Е 0 04 00000 </v>
      </c>
      <c r="F713" s="97"/>
      <c r="G713" s="187">
        <f t="shared" ref="G713:H715" si="58">G714</f>
        <v>250</v>
      </c>
      <c r="H713" s="187">
        <f t="shared" si="58"/>
        <v>250</v>
      </c>
      <c r="I713" s="187">
        <f t="shared" si="51"/>
        <v>0</v>
      </c>
      <c r="J713" s="189">
        <f t="shared" si="52"/>
        <v>100</v>
      </c>
    </row>
    <row r="714" spans="1:10" ht="25.5">
      <c r="A714" s="16" t="str">
        <f>'МП пр.5'!A156</f>
        <v>Адаптация социально- значимых объектов для инвалидов и маломобильных групп населения</v>
      </c>
      <c r="B714" s="19" t="s">
        <v>273</v>
      </c>
      <c r="C714" s="20" t="s">
        <v>69</v>
      </c>
      <c r="D714" s="20" t="s">
        <v>62</v>
      </c>
      <c r="E714" s="102" t="str">
        <f>'МП пр.5'!B156</f>
        <v xml:space="preserve">7Е 0 04 91500 </v>
      </c>
      <c r="F714" s="97"/>
      <c r="G714" s="187">
        <f t="shared" si="58"/>
        <v>250</v>
      </c>
      <c r="H714" s="187">
        <f t="shared" si="58"/>
        <v>250</v>
      </c>
      <c r="I714" s="187">
        <f t="shared" si="51"/>
        <v>0</v>
      </c>
      <c r="J714" s="189">
        <f t="shared" si="52"/>
        <v>100</v>
      </c>
    </row>
    <row r="715" spans="1:10" ht="25.5">
      <c r="A715" s="16" t="s">
        <v>93</v>
      </c>
      <c r="B715" s="19" t="s">
        <v>273</v>
      </c>
      <c r="C715" s="20" t="s">
        <v>69</v>
      </c>
      <c r="D715" s="20" t="s">
        <v>62</v>
      </c>
      <c r="E715" s="102" t="str">
        <f>'МП пр.5'!B157</f>
        <v xml:space="preserve">7Е 0 04 91500 </v>
      </c>
      <c r="F715" s="97" t="s">
        <v>94</v>
      </c>
      <c r="G715" s="187">
        <f t="shared" si="58"/>
        <v>250</v>
      </c>
      <c r="H715" s="187">
        <f t="shared" si="58"/>
        <v>250</v>
      </c>
      <c r="I715" s="187">
        <f t="shared" si="51"/>
        <v>0</v>
      </c>
      <c r="J715" s="189">
        <f t="shared" si="52"/>
        <v>100</v>
      </c>
    </row>
    <row r="716" spans="1:10">
      <c r="A716" s="16" t="s">
        <v>97</v>
      </c>
      <c r="B716" s="19" t="s">
        <v>273</v>
      </c>
      <c r="C716" s="20" t="s">
        <v>69</v>
      </c>
      <c r="D716" s="20" t="s">
        <v>62</v>
      </c>
      <c r="E716" s="102" t="str">
        <f>'МП пр.5'!B158</f>
        <v xml:space="preserve">7Е 0 04 91500 </v>
      </c>
      <c r="F716" s="97" t="s">
        <v>98</v>
      </c>
      <c r="G716" s="187">
        <f>'МП пр.5'!G161</f>
        <v>250</v>
      </c>
      <c r="H716" s="187">
        <f>'МП пр.5'!H161</f>
        <v>250</v>
      </c>
      <c r="I716" s="187">
        <f t="shared" si="51"/>
        <v>0</v>
      </c>
      <c r="J716" s="189">
        <f t="shared" si="52"/>
        <v>100</v>
      </c>
    </row>
    <row r="717" spans="1:10" ht="25.5">
      <c r="A717" s="28" t="str">
        <f>'МП пр.5'!A257</f>
        <v>Муниципальная программа  "Пожарная безопасность в Сусуманском городском округе на 2018- 2022 годы"</v>
      </c>
      <c r="B717" s="19" t="s">
        <v>273</v>
      </c>
      <c r="C717" s="20" t="s">
        <v>69</v>
      </c>
      <c r="D717" s="20" t="s">
        <v>62</v>
      </c>
      <c r="E717" s="102" t="str">
        <f>'МП пр.5'!B257</f>
        <v xml:space="preserve">7П 0 00 00000 </v>
      </c>
      <c r="F717" s="97"/>
      <c r="G717" s="187">
        <f>G718</f>
        <v>413.7</v>
      </c>
      <c r="H717" s="187">
        <f>H718</f>
        <v>393.7</v>
      </c>
      <c r="I717" s="187">
        <f t="shared" si="51"/>
        <v>20</v>
      </c>
      <c r="J717" s="189">
        <f t="shared" si="52"/>
        <v>95.165578921924094</v>
      </c>
    </row>
    <row r="718" spans="1:10" ht="38.25">
      <c r="A718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18" s="19" t="s">
        <v>273</v>
      </c>
      <c r="C718" s="20" t="s">
        <v>69</v>
      </c>
      <c r="D718" s="20" t="s">
        <v>62</v>
      </c>
      <c r="E718" s="102" t="str">
        <f>'МП пр.5'!B258</f>
        <v xml:space="preserve">7П 0 01 00000 </v>
      </c>
      <c r="F718" s="97"/>
      <c r="G718" s="187">
        <f>G719+G722+G725+G728</f>
        <v>413.7</v>
      </c>
      <c r="H718" s="187">
        <f>H719+H722+H725+H728</f>
        <v>393.7</v>
      </c>
      <c r="I718" s="187">
        <f t="shared" si="51"/>
        <v>20</v>
      </c>
      <c r="J718" s="189">
        <f t="shared" si="52"/>
        <v>95.165578921924094</v>
      </c>
    </row>
    <row r="719" spans="1:10" ht="38.25">
      <c r="A719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19" s="19" t="s">
        <v>273</v>
      </c>
      <c r="C719" s="20" t="s">
        <v>69</v>
      </c>
      <c r="D719" s="20" t="s">
        <v>62</v>
      </c>
      <c r="E719" s="102" t="str">
        <f>'МП пр.5'!B259</f>
        <v xml:space="preserve">7П 0 01 94100 </v>
      </c>
      <c r="F719" s="97"/>
      <c r="G719" s="187">
        <f>G720</f>
        <v>295</v>
      </c>
      <c r="H719" s="187">
        <f>H720</f>
        <v>275</v>
      </c>
      <c r="I719" s="187">
        <f t="shared" ref="I719:I782" si="59">G719-H719</f>
        <v>20</v>
      </c>
      <c r="J719" s="189">
        <f t="shared" ref="J719:J782" si="60">H719/G719*100</f>
        <v>93.220338983050837</v>
      </c>
    </row>
    <row r="720" spans="1:10" ht="25.5">
      <c r="A720" s="16" t="s">
        <v>93</v>
      </c>
      <c r="B720" s="19" t="s">
        <v>273</v>
      </c>
      <c r="C720" s="20" t="s">
        <v>69</v>
      </c>
      <c r="D720" s="20" t="s">
        <v>62</v>
      </c>
      <c r="E720" s="102" t="s">
        <v>234</v>
      </c>
      <c r="F720" s="97" t="s">
        <v>94</v>
      </c>
      <c r="G720" s="187">
        <f>G721</f>
        <v>295</v>
      </c>
      <c r="H720" s="187">
        <f>H721</f>
        <v>275</v>
      </c>
      <c r="I720" s="187">
        <f t="shared" si="59"/>
        <v>20</v>
      </c>
      <c r="J720" s="189">
        <f t="shared" si="60"/>
        <v>93.220338983050837</v>
      </c>
    </row>
    <row r="721" spans="1:10">
      <c r="A721" s="16" t="s">
        <v>97</v>
      </c>
      <c r="B721" s="19" t="s">
        <v>273</v>
      </c>
      <c r="C721" s="20" t="s">
        <v>69</v>
      </c>
      <c r="D721" s="20" t="s">
        <v>62</v>
      </c>
      <c r="E721" s="102" t="s">
        <v>234</v>
      </c>
      <c r="F721" s="97" t="s">
        <v>98</v>
      </c>
      <c r="G721" s="187">
        <f>'МП пр.5'!G278</f>
        <v>295</v>
      </c>
      <c r="H721" s="187">
        <f>'МП пр.5'!H278</f>
        <v>275</v>
      </c>
      <c r="I721" s="187">
        <f t="shared" si="59"/>
        <v>20</v>
      </c>
      <c r="J721" s="189">
        <f t="shared" si="60"/>
        <v>93.220338983050837</v>
      </c>
    </row>
    <row r="722" spans="1:10">
      <c r="A722" s="28" t="str">
        <f>'МП пр.5'!A284</f>
        <v>Обработка сгораемых конструкций огнезащитными составами</v>
      </c>
      <c r="B722" s="19" t="s">
        <v>273</v>
      </c>
      <c r="C722" s="20" t="s">
        <v>69</v>
      </c>
      <c r="D722" s="20" t="s">
        <v>62</v>
      </c>
      <c r="E722" s="102" t="str">
        <f>'МП пр.5'!B284</f>
        <v xml:space="preserve">7П 0 01 94200 </v>
      </c>
      <c r="F722" s="97"/>
      <c r="G722" s="187">
        <f>G723</f>
        <v>80</v>
      </c>
      <c r="H722" s="187">
        <f>H723</f>
        <v>80</v>
      </c>
      <c r="I722" s="187">
        <f t="shared" si="59"/>
        <v>0</v>
      </c>
      <c r="J722" s="189">
        <f t="shared" si="60"/>
        <v>100</v>
      </c>
    </row>
    <row r="723" spans="1:10" ht="25.5">
      <c r="A723" s="16" t="s">
        <v>93</v>
      </c>
      <c r="B723" s="19" t="s">
        <v>273</v>
      </c>
      <c r="C723" s="20" t="s">
        <v>69</v>
      </c>
      <c r="D723" s="20" t="s">
        <v>62</v>
      </c>
      <c r="E723" s="102" t="s">
        <v>238</v>
      </c>
      <c r="F723" s="97" t="s">
        <v>94</v>
      </c>
      <c r="G723" s="187">
        <f>G724</f>
        <v>80</v>
      </c>
      <c r="H723" s="187">
        <f>H724</f>
        <v>80</v>
      </c>
      <c r="I723" s="187">
        <f t="shared" si="59"/>
        <v>0</v>
      </c>
      <c r="J723" s="189">
        <f t="shared" si="60"/>
        <v>100</v>
      </c>
    </row>
    <row r="724" spans="1:10">
      <c r="A724" s="16" t="s">
        <v>97</v>
      </c>
      <c r="B724" s="19" t="s">
        <v>273</v>
      </c>
      <c r="C724" s="20" t="s">
        <v>69</v>
      </c>
      <c r="D724" s="20" t="s">
        <v>62</v>
      </c>
      <c r="E724" s="102" t="s">
        <v>238</v>
      </c>
      <c r="F724" s="97" t="s">
        <v>98</v>
      </c>
      <c r="G724" s="187">
        <f>'МП пр.5'!G298</f>
        <v>80</v>
      </c>
      <c r="H724" s="187">
        <f>'МП пр.5'!H298</f>
        <v>80</v>
      </c>
      <c r="I724" s="187">
        <f t="shared" si="59"/>
        <v>0</v>
      </c>
      <c r="J724" s="189">
        <f t="shared" si="60"/>
        <v>100</v>
      </c>
    </row>
    <row r="725" spans="1:10" ht="25.5">
      <c r="A725" s="28" t="str">
        <f>'МП пр.5'!A299</f>
        <v>Приобретение и заправка огнетушителей, средств индивидуальной защиты</v>
      </c>
      <c r="B725" s="19" t="s">
        <v>273</v>
      </c>
      <c r="C725" s="20" t="s">
        <v>69</v>
      </c>
      <c r="D725" s="20" t="s">
        <v>62</v>
      </c>
      <c r="E725" s="102" t="str">
        <f>'МП пр.5'!B299</f>
        <v xml:space="preserve">7П 0 01 94300 </v>
      </c>
      <c r="F725" s="97"/>
      <c r="G725" s="187">
        <f>G726</f>
        <v>18.7</v>
      </c>
      <c r="H725" s="187">
        <f>H726</f>
        <v>18.7</v>
      </c>
      <c r="I725" s="187">
        <f t="shared" si="59"/>
        <v>0</v>
      </c>
      <c r="J725" s="189">
        <f t="shared" si="60"/>
        <v>100</v>
      </c>
    </row>
    <row r="726" spans="1:10" ht="25.5">
      <c r="A726" s="16" t="s">
        <v>93</v>
      </c>
      <c r="B726" s="19" t="s">
        <v>273</v>
      </c>
      <c r="C726" s="20" t="s">
        <v>69</v>
      </c>
      <c r="D726" s="20" t="s">
        <v>62</v>
      </c>
      <c r="E726" s="102" t="s">
        <v>247</v>
      </c>
      <c r="F726" s="97" t="s">
        <v>94</v>
      </c>
      <c r="G726" s="187">
        <f>G727</f>
        <v>18.7</v>
      </c>
      <c r="H726" s="187">
        <f>H727</f>
        <v>18.7</v>
      </c>
      <c r="I726" s="187">
        <f t="shared" si="59"/>
        <v>0</v>
      </c>
      <c r="J726" s="189">
        <f t="shared" si="60"/>
        <v>100</v>
      </c>
    </row>
    <row r="727" spans="1:10">
      <c r="A727" s="16" t="s">
        <v>97</v>
      </c>
      <c r="B727" s="19" t="s">
        <v>273</v>
      </c>
      <c r="C727" s="20" t="s">
        <v>69</v>
      </c>
      <c r="D727" s="20" t="s">
        <v>62</v>
      </c>
      <c r="E727" s="102" t="s">
        <v>247</v>
      </c>
      <c r="F727" s="97" t="s">
        <v>98</v>
      </c>
      <c r="G727" s="187">
        <f>'МП пр.5'!G309</f>
        <v>18.7</v>
      </c>
      <c r="H727" s="187">
        <f>'МП пр.5'!H309</f>
        <v>18.7</v>
      </c>
      <c r="I727" s="187">
        <f t="shared" si="59"/>
        <v>0</v>
      </c>
      <c r="J727" s="189">
        <f t="shared" si="60"/>
        <v>100</v>
      </c>
    </row>
    <row r="728" spans="1:10" ht="38.25">
      <c r="A728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728" s="19" t="s">
        <v>273</v>
      </c>
      <c r="C728" s="20" t="s">
        <v>69</v>
      </c>
      <c r="D728" s="20" t="s">
        <v>62</v>
      </c>
      <c r="E728" s="102" t="str">
        <f>'МП пр.5'!B338</f>
        <v xml:space="preserve">7П 0 01 94500 </v>
      </c>
      <c r="F728" s="97"/>
      <c r="G728" s="187">
        <f>G729</f>
        <v>20</v>
      </c>
      <c r="H728" s="187">
        <f>H729</f>
        <v>20</v>
      </c>
      <c r="I728" s="187">
        <f t="shared" si="59"/>
        <v>0</v>
      </c>
      <c r="J728" s="189">
        <f t="shared" si="60"/>
        <v>100</v>
      </c>
    </row>
    <row r="729" spans="1:10" ht="25.5">
      <c r="A729" s="16" t="s">
        <v>93</v>
      </c>
      <c r="B729" s="19" t="s">
        <v>273</v>
      </c>
      <c r="C729" s="20" t="s">
        <v>69</v>
      </c>
      <c r="D729" s="20" t="s">
        <v>62</v>
      </c>
      <c r="E729" s="102" t="s">
        <v>236</v>
      </c>
      <c r="F729" s="97" t="s">
        <v>94</v>
      </c>
      <c r="G729" s="187">
        <f>G730</f>
        <v>20</v>
      </c>
      <c r="H729" s="187">
        <f>H730</f>
        <v>20</v>
      </c>
      <c r="I729" s="187">
        <f t="shared" si="59"/>
        <v>0</v>
      </c>
      <c r="J729" s="189">
        <f t="shared" si="60"/>
        <v>100</v>
      </c>
    </row>
    <row r="730" spans="1:10">
      <c r="A730" s="16" t="s">
        <v>97</v>
      </c>
      <c r="B730" s="19" t="s">
        <v>273</v>
      </c>
      <c r="C730" s="20" t="s">
        <v>69</v>
      </c>
      <c r="D730" s="20" t="s">
        <v>62</v>
      </c>
      <c r="E730" s="102" t="s">
        <v>236</v>
      </c>
      <c r="F730" s="97" t="s">
        <v>98</v>
      </c>
      <c r="G730" s="187">
        <f>'МП пр.5'!G356</f>
        <v>20</v>
      </c>
      <c r="H730" s="187">
        <f>'МП пр.5'!H356</f>
        <v>20</v>
      </c>
      <c r="I730" s="187">
        <f t="shared" si="59"/>
        <v>0</v>
      </c>
      <c r="J730" s="189">
        <f t="shared" si="60"/>
        <v>100</v>
      </c>
    </row>
    <row r="731" spans="1:10">
      <c r="A731" s="16" t="s">
        <v>134</v>
      </c>
      <c r="B731" s="19" t="s">
        <v>273</v>
      </c>
      <c r="C731" s="20" t="s">
        <v>69</v>
      </c>
      <c r="D731" s="20" t="s">
        <v>62</v>
      </c>
      <c r="E731" s="97" t="s">
        <v>479</v>
      </c>
      <c r="F731" s="97"/>
      <c r="G731" s="187">
        <f>G732+G735+G738</f>
        <v>11580</v>
      </c>
      <c r="H731" s="187">
        <f>H732+H735+H738</f>
        <v>11461.699999999999</v>
      </c>
      <c r="I731" s="187">
        <f t="shared" si="59"/>
        <v>118.30000000000109</v>
      </c>
      <c r="J731" s="189">
        <f t="shared" si="60"/>
        <v>98.978411053540583</v>
      </c>
    </row>
    <row r="732" spans="1:10" ht="25.5">
      <c r="A732" s="16" t="s">
        <v>183</v>
      </c>
      <c r="B732" s="19" t="s">
        <v>273</v>
      </c>
      <c r="C732" s="20" t="s">
        <v>69</v>
      </c>
      <c r="D732" s="20" t="s">
        <v>62</v>
      </c>
      <c r="E732" s="97" t="s">
        <v>480</v>
      </c>
      <c r="F732" s="97"/>
      <c r="G732" s="187">
        <f>G733</f>
        <v>11391.7</v>
      </c>
      <c r="H732" s="187">
        <f>H733</f>
        <v>11285.4</v>
      </c>
      <c r="I732" s="187">
        <f t="shared" si="59"/>
        <v>106.30000000000109</v>
      </c>
      <c r="J732" s="189">
        <f t="shared" si="60"/>
        <v>99.066864471501177</v>
      </c>
    </row>
    <row r="733" spans="1:10" ht="25.5">
      <c r="A733" s="16" t="s">
        <v>93</v>
      </c>
      <c r="B733" s="19" t="s">
        <v>273</v>
      </c>
      <c r="C733" s="20" t="s">
        <v>69</v>
      </c>
      <c r="D733" s="20" t="s">
        <v>62</v>
      </c>
      <c r="E733" s="97" t="s">
        <v>480</v>
      </c>
      <c r="F733" s="97" t="s">
        <v>94</v>
      </c>
      <c r="G733" s="187">
        <f>G734</f>
        <v>11391.7</v>
      </c>
      <c r="H733" s="187">
        <f>H734</f>
        <v>11285.4</v>
      </c>
      <c r="I733" s="187">
        <f t="shared" si="59"/>
        <v>106.30000000000109</v>
      </c>
      <c r="J733" s="189">
        <f t="shared" si="60"/>
        <v>99.066864471501177</v>
      </c>
    </row>
    <row r="734" spans="1:10">
      <c r="A734" s="16" t="s">
        <v>97</v>
      </c>
      <c r="B734" s="19" t="s">
        <v>273</v>
      </c>
      <c r="C734" s="20" t="s">
        <v>69</v>
      </c>
      <c r="D734" s="20" t="s">
        <v>62</v>
      </c>
      <c r="E734" s="97" t="s">
        <v>480</v>
      </c>
      <c r="F734" s="97" t="s">
        <v>98</v>
      </c>
      <c r="G734" s="187">
        <f>11191.7+200</f>
        <v>11391.7</v>
      </c>
      <c r="H734" s="187">
        <v>11285.4</v>
      </c>
      <c r="I734" s="187">
        <f t="shared" si="59"/>
        <v>106.30000000000109</v>
      </c>
      <c r="J734" s="189">
        <f t="shared" si="60"/>
        <v>99.066864471501177</v>
      </c>
    </row>
    <row r="735" spans="1:10" ht="63.75">
      <c r="A735" s="16" t="s">
        <v>202</v>
      </c>
      <c r="B735" s="19" t="s">
        <v>273</v>
      </c>
      <c r="C735" s="20" t="s">
        <v>69</v>
      </c>
      <c r="D735" s="20" t="s">
        <v>62</v>
      </c>
      <c r="E735" s="97" t="s">
        <v>481</v>
      </c>
      <c r="F735" s="97"/>
      <c r="G735" s="187">
        <f>G736</f>
        <v>176.3</v>
      </c>
      <c r="H735" s="187">
        <f>H736</f>
        <v>176.3</v>
      </c>
      <c r="I735" s="187">
        <f t="shared" si="59"/>
        <v>0</v>
      </c>
      <c r="J735" s="189">
        <f t="shared" si="60"/>
        <v>100</v>
      </c>
    </row>
    <row r="736" spans="1:10" ht="25.5">
      <c r="A736" s="16" t="s">
        <v>93</v>
      </c>
      <c r="B736" s="19" t="s">
        <v>273</v>
      </c>
      <c r="C736" s="20" t="s">
        <v>69</v>
      </c>
      <c r="D736" s="20" t="s">
        <v>62</v>
      </c>
      <c r="E736" s="97" t="s">
        <v>481</v>
      </c>
      <c r="F736" s="97" t="s">
        <v>94</v>
      </c>
      <c r="G736" s="187">
        <f>G737</f>
        <v>176.3</v>
      </c>
      <c r="H736" s="187">
        <f>H737</f>
        <v>176.3</v>
      </c>
      <c r="I736" s="187">
        <f t="shared" si="59"/>
        <v>0</v>
      </c>
      <c r="J736" s="189">
        <f t="shared" si="60"/>
        <v>100</v>
      </c>
    </row>
    <row r="737" spans="1:10">
      <c r="A737" s="16" t="s">
        <v>97</v>
      </c>
      <c r="B737" s="19" t="s">
        <v>273</v>
      </c>
      <c r="C737" s="20" t="s">
        <v>69</v>
      </c>
      <c r="D737" s="20" t="s">
        <v>62</v>
      </c>
      <c r="E737" s="97" t="s">
        <v>481</v>
      </c>
      <c r="F737" s="97" t="s">
        <v>98</v>
      </c>
      <c r="G737" s="187">
        <f>400-223.7</f>
        <v>176.3</v>
      </c>
      <c r="H737" s="187">
        <v>176.3</v>
      </c>
      <c r="I737" s="187">
        <f t="shared" si="59"/>
        <v>0</v>
      </c>
      <c r="J737" s="189">
        <f t="shared" si="60"/>
        <v>100</v>
      </c>
    </row>
    <row r="738" spans="1:10">
      <c r="A738" s="16" t="s">
        <v>174</v>
      </c>
      <c r="B738" s="19" t="s">
        <v>273</v>
      </c>
      <c r="C738" s="20" t="s">
        <v>69</v>
      </c>
      <c r="D738" s="20" t="s">
        <v>62</v>
      </c>
      <c r="E738" s="97" t="s">
        <v>482</v>
      </c>
      <c r="F738" s="97"/>
      <c r="G738" s="187">
        <f>G739</f>
        <v>12</v>
      </c>
      <c r="H738" s="187">
        <f>H739</f>
        <v>0</v>
      </c>
      <c r="I738" s="187">
        <f t="shared" si="59"/>
        <v>12</v>
      </c>
      <c r="J738" s="189">
        <f t="shared" si="60"/>
        <v>0</v>
      </c>
    </row>
    <row r="739" spans="1:10" ht="25.5">
      <c r="A739" s="16" t="s">
        <v>93</v>
      </c>
      <c r="B739" s="19" t="s">
        <v>273</v>
      </c>
      <c r="C739" s="20" t="s">
        <v>69</v>
      </c>
      <c r="D739" s="20" t="s">
        <v>62</v>
      </c>
      <c r="E739" s="97" t="s">
        <v>482</v>
      </c>
      <c r="F739" s="97" t="s">
        <v>94</v>
      </c>
      <c r="G739" s="187">
        <f>G740</f>
        <v>12</v>
      </c>
      <c r="H739" s="187">
        <f>H740</f>
        <v>0</v>
      </c>
      <c r="I739" s="187">
        <f t="shared" si="59"/>
        <v>12</v>
      </c>
      <c r="J739" s="189">
        <f t="shared" si="60"/>
        <v>0</v>
      </c>
    </row>
    <row r="740" spans="1:10">
      <c r="A740" s="16" t="s">
        <v>97</v>
      </c>
      <c r="B740" s="19" t="s">
        <v>273</v>
      </c>
      <c r="C740" s="20" t="s">
        <v>69</v>
      </c>
      <c r="D740" s="20" t="s">
        <v>62</v>
      </c>
      <c r="E740" s="97" t="s">
        <v>482</v>
      </c>
      <c r="F740" s="97" t="s">
        <v>98</v>
      </c>
      <c r="G740" s="187">
        <v>12</v>
      </c>
      <c r="H740" s="187">
        <v>0</v>
      </c>
      <c r="I740" s="187">
        <f t="shared" si="59"/>
        <v>12</v>
      </c>
      <c r="J740" s="189">
        <f t="shared" si="60"/>
        <v>0</v>
      </c>
    </row>
    <row r="741" spans="1:10" ht="25.5">
      <c r="A741" s="16" t="s">
        <v>483</v>
      </c>
      <c r="B741" s="19" t="s">
        <v>273</v>
      </c>
      <c r="C741" s="20" t="s">
        <v>69</v>
      </c>
      <c r="D741" s="20" t="s">
        <v>62</v>
      </c>
      <c r="E741" s="97" t="s">
        <v>484</v>
      </c>
      <c r="F741" s="97"/>
      <c r="G741" s="187">
        <f>G742+G745+G748</f>
        <v>15716.399999999998</v>
      </c>
      <c r="H741" s="187">
        <f>H742+H745+H748</f>
        <v>15214.900000000001</v>
      </c>
      <c r="I741" s="187">
        <f t="shared" si="59"/>
        <v>501.49999999999636</v>
      </c>
      <c r="J741" s="189">
        <f t="shared" si="60"/>
        <v>96.80906568934364</v>
      </c>
    </row>
    <row r="742" spans="1:10" ht="25.5">
      <c r="A742" s="16" t="s">
        <v>183</v>
      </c>
      <c r="B742" s="19" t="s">
        <v>273</v>
      </c>
      <c r="C742" s="20" t="s">
        <v>69</v>
      </c>
      <c r="D742" s="20" t="s">
        <v>62</v>
      </c>
      <c r="E742" s="97" t="s">
        <v>485</v>
      </c>
      <c r="F742" s="97"/>
      <c r="G742" s="187">
        <f>G743</f>
        <v>15555.099999999999</v>
      </c>
      <c r="H742" s="187">
        <f>H743</f>
        <v>15126.7</v>
      </c>
      <c r="I742" s="187">
        <f t="shared" si="59"/>
        <v>428.39999999999782</v>
      </c>
      <c r="J742" s="189">
        <f t="shared" si="60"/>
        <v>97.24591934478083</v>
      </c>
    </row>
    <row r="743" spans="1:10" ht="25.5">
      <c r="A743" s="16" t="s">
        <v>93</v>
      </c>
      <c r="B743" s="19" t="s">
        <v>273</v>
      </c>
      <c r="C743" s="20" t="s">
        <v>69</v>
      </c>
      <c r="D743" s="20" t="s">
        <v>62</v>
      </c>
      <c r="E743" s="97" t="s">
        <v>485</v>
      </c>
      <c r="F743" s="97" t="s">
        <v>94</v>
      </c>
      <c r="G743" s="187">
        <f>G744</f>
        <v>15555.099999999999</v>
      </c>
      <c r="H743" s="187">
        <f>H744</f>
        <v>15126.7</v>
      </c>
      <c r="I743" s="187">
        <f t="shared" si="59"/>
        <v>428.39999999999782</v>
      </c>
      <c r="J743" s="189">
        <f t="shared" si="60"/>
        <v>97.24591934478083</v>
      </c>
    </row>
    <row r="744" spans="1:10">
      <c r="A744" s="16" t="s">
        <v>97</v>
      </c>
      <c r="B744" s="19" t="s">
        <v>273</v>
      </c>
      <c r="C744" s="20" t="s">
        <v>69</v>
      </c>
      <c r="D744" s="20" t="s">
        <v>62</v>
      </c>
      <c r="E744" s="97" t="s">
        <v>485</v>
      </c>
      <c r="F744" s="97" t="s">
        <v>98</v>
      </c>
      <c r="G744" s="187">
        <f>15390.8+164.3</f>
        <v>15555.099999999999</v>
      </c>
      <c r="H744" s="187">
        <f>14761.7+365</f>
        <v>15126.7</v>
      </c>
      <c r="I744" s="187">
        <f t="shared" si="59"/>
        <v>428.39999999999782</v>
      </c>
      <c r="J744" s="189">
        <f t="shared" si="60"/>
        <v>97.24591934478083</v>
      </c>
    </row>
    <row r="745" spans="1:10" ht="63.75">
      <c r="A745" s="16" t="s">
        <v>202</v>
      </c>
      <c r="B745" s="19" t="s">
        <v>273</v>
      </c>
      <c r="C745" s="20" t="s">
        <v>69</v>
      </c>
      <c r="D745" s="20" t="s">
        <v>62</v>
      </c>
      <c r="E745" s="97" t="s">
        <v>486</v>
      </c>
      <c r="F745" s="97"/>
      <c r="G745" s="187">
        <f>G746</f>
        <v>129.30000000000001</v>
      </c>
      <c r="H745" s="187">
        <f>H746</f>
        <v>88.2</v>
      </c>
      <c r="I745" s="187">
        <f t="shared" si="59"/>
        <v>41.100000000000009</v>
      </c>
      <c r="J745" s="189">
        <f t="shared" si="60"/>
        <v>68.213457076566115</v>
      </c>
    </row>
    <row r="746" spans="1:10" ht="25.5">
      <c r="A746" s="16" t="s">
        <v>93</v>
      </c>
      <c r="B746" s="19" t="s">
        <v>273</v>
      </c>
      <c r="C746" s="20" t="s">
        <v>69</v>
      </c>
      <c r="D746" s="20" t="s">
        <v>62</v>
      </c>
      <c r="E746" s="97" t="s">
        <v>486</v>
      </c>
      <c r="F746" s="97" t="s">
        <v>94</v>
      </c>
      <c r="G746" s="187">
        <f>G747</f>
        <v>129.30000000000001</v>
      </c>
      <c r="H746" s="187">
        <f>H747</f>
        <v>88.2</v>
      </c>
      <c r="I746" s="187">
        <f t="shared" si="59"/>
        <v>41.100000000000009</v>
      </c>
      <c r="J746" s="189">
        <f t="shared" si="60"/>
        <v>68.213457076566115</v>
      </c>
    </row>
    <row r="747" spans="1:10">
      <c r="A747" s="16" t="s">
        <v>97</v>
      </c>
      <c r="B747" s="19" t="s">
        <v>273</v>
      </c>
      <c r="C747" s="20" t="s">
        <v>69</v>
      </c>
      <c r="D747" s="20" t="s">
        <v>62</v>
      </c>
      <c r="E747" s="97" t="s">
        <v>486</v>
      </c>
      <c r="F747" s="97" t="s">
        <v>98</v>
      </c>
      <c r="G747" s="187">
        <f>320-190.7</f>
        <v>129.30000000000001</v>
      </c>
      <c r="H747" s="187">
        <v>88.2</v>
      </c>
      <c r="I747" s="187">
        <f t="shared" si="59"/>
        <v>41.100000000000009</v>
      </c>
      <c r="J747" s="189">
        <f t="shared" si="60"/>
        <v>68.213457076566115</v>
      </c>
    </row>
    <row r="748" spans="1:10">
      <c r="A748" s="16" t="s">
        <v>174</v>
      </c>
      <c r="B748" s="19" t="s">
        <v>273</v>
      </c>
      <c r="C748" s="20" t="s">
        <v>69</v>
      </c>
      <c r="D748" s="20" t="s">
        <v>62</v>
      </c>
      <c r="E748" s="97" t="s">
        <v>487</v>
      </c>
      <c r="F748" s="97"/>
      <c r="G748" s="187">
        <f>G749</f>
        <v>32</v>
      </c>
      <c r="H748" s="187">
        <f>H749</f>
        <v>0</v>
      </c>
      <c r="I748" s="187">
        <f t="shared" si="59"/>
        <v>32</v>
      </c>
      <c r="J748" s="189">
        <f t="shared" si="60"/>
        <v>0</v>
      </c>
    </row>
    <row r="749" spans="1:10" ht="25.5">
      <c r="A749" s="16" t="s">
        <v>93</v>
      </c>
      <c r="B749" s="19" t="s">
        <v>273</v>
      </c>
      <c r="C749" s="20" t="s">
        <v>69</v>
      </c>
      <c r="D749" s="20" t="s">
        <v>62</v>
      </c>
      <c r="E749" s="97" t="s">
        <v>487</v>
      </c>
      <c r="F749" s="97" t="s">
        <v>94</v>
      </c>
      <c r="G749" s="187">
        <f>G750</f>
        <v>32</v>
      </c>
      <c r="H749" s="187">
        <f>H750</f>
        <v>0</v>
      </c>
      <c r="I749" s="187">
        <f t="shared" si="59"/>
        <v>32</v>
      </c>
      <c r="J749" s="189">
        <f t="shared" si="60"/>
        <v>0</v>
      </c>
    </row>
    <row r="750" spans="1:10">
      <c r="A750" s="16" t="s">
        <v>97</v>
      </c>
      <c r="B750" s="19" t="s">
        <v>273</v>
      </c>
      <c r="C750" s="20" t="s">
        <v>69</v>
      </c>
      <c r="D750" s="20" t="s">
        <v>62</v>
      </c>
      <c r="E750" s="97" t="s">
        <v>487</v>
      </c>
      <c r="F750" s="97" t="s">
        <v>98</v>
      </c>
      <c r="G750" s="187">
        <v>32</v>
      </c>
      <c r="H750" s="187"/>
      <c r="I750" s="187">
        <f t="shared" si="59"/>
        <v>32</v>
      </c>
      <c r="J750" s="189">
        <f t="shared" si="60"/>
        <v>0</v>
      </c>
    </row>
    <row r="751" spans="1:10">
      <c r="A751" s="16" t="s">
        <v>77</v>
      </c>
      <c r="B751" s="19" t="s">
        <v>273</v>
      </c>
      <c r="C751" s="20" t="s">
        <v>69</v>
      </c>
      <c r="D751" s="20" t="s">
        <v>62</v>
      </c>
      <c r="E751" s="97" t="s">
        <v>488</v>
      </c>
      <c r="F751" s="97"/>
      <c r="G751" s="187">
        <f>G752</f>
        <v>1280.6999999999998</v>
      </c>
      <c r="H751" s="187">
        <f>H752</f>
        <v>1280.6999999999998</v>
      </c>
      <c r="I751" s="187">
        <f t="shared" si="59"/>
        <v>0</v>
      </c>
      <c r="J751" s="189">
        <f t="shared" si="60"/>
        <v>100</v>
      </c>
    </row>
    <row r="752" spans="1:10" ht="25.5">
      <c r="A752" s="16" t="s">
        <v>489</v>
      </c>
      <c r="B752" s="19" t="s">
        <v>273</v>
      </c>
      <c r="C752" s="20" t="s">
        <v>69</v>
      </c>
      <c r="D752" s="20" t="s">
        <v>62</v>
      </c>
      <c r="E752" s="97" t="s">
        <v>490</v>
      </c>
      <c r="F752" s="97"/>
      <c r="G752" s="187">
        <f>G753+G755+G757</f>
        <v>1280.6999999999998</v>
      </c>
      <c r="H752" s="187">
        <f>H753+H755+H757</f>
        <v>1280.6999999999998</v>
      </c>
      <c r="I752" s="187">
        <f t="shared" si="59"/>
        <v>0</v>
      </c>
      <c r="J752" s="189">
        <f t="shared" si="60"/>
        <v>100</v>
      </c>
    </row>
    <row r="753" spans="1:10" ht="51">
      <c r="A753" s="16" t="s">
        <v>90</v>
      </c>
      <c r="B753" s="19" t="s">
        <v>273</v>
      </c>
      <c r="C753" s="20" t="s">
        <v>69</v>
      </c>
      <c r="D753" s="20" t="s">
        <v>62</v>
      </c>
      <c r="E753" s="97" t="s">
        <v>490</v>
      </c>
      <c r="F753" s="97" t="s">
        <v>91</v>
      </c>
      <c r="G753" s="187">
        <f>G754</f>
        <v>1054.0999999999999</v>
      </c>
      <c r="H753" s="187">
        <f>H754</f>
        <v>1054.0999999999999</v>
      </c>
      <c r="I753" s="187">
        <f t="shared" si="59"/>
        <v>0</v>
      </c>
      <c r="J753" s="189">
        <f t="shared" si="60"/>
        <v>100</v>
      </c>
    </row>
    <row r="754" spans="1:10">
      <c r="A754" s="16" t="s">
        <v>206</v>
      </c>
      <c r="B754" s="19" t="s">
        <v>273</v>
      </c>
      <c r="C754" s="20" t="s">
        <v>69</v>
      </c>
      <c r="D754" s="20" t="s">
        <v>62</v>
      </c>
      <c r="E754" s="97" t="s">
        <v>490</v>
      </c>
      <c r="F754" s="97" t="s">
        <v>207</v>
      </c>
      <c r="G754" s="187">
        <f>1261-206.9</f>
        <v>1054.0999999999999</v>
      </c>
      <c r="H754" s="187">
        <f>1054.1</f>
        <v>1054.0999999999999</v>
      </c>
      <c r="I754" s="187">
        <f t="shared" si="59"/>
        <v>0</v>
      </c>
      <c r="J754" s="189">
        <f t="shared" si="60"/>
        <v>100</v>
      </c>
    </row>
    <row r="755" spans="1:10" ht="25.5">
      <c r="A755" s="16" t="s">
        <v>331</v>
      </c>
      <c r="B755" s="19" t="s">
        <v>273</v>
      </c>
      <c r="C755" s="20" t="s">
        <v>69</v>
      </c>
      <c r="D755" s="20" t="s">
        <v>62</v>
      </c>
      <c r="E755" s="97" t="s">
        <v>490</v>
      </c>
      <c r="F755" s="97" t="s">
        <v>92</v>
      </c>
      <c r="G755" s="187">
        <f>G756</f>
        <v>224.5</v>
      </c>
      <c r="H755" s="187">
        <f>H756</f>
        <v>224.5</v>
      </c>
      <c r="I755" s="187">
        <f t="shared" si="59"/>
        <v>0</v>
      </c>
      <c r="J755" s="189">
        <f t="shared" si="60"/>
        <v>100</v>
      </c>
    </row>
    <row r="756" spans="1:10" ht="25.5">
      <c r="A756" s="16" t="s">
        <v>556</v>
      </c>
      <c r="B756" s="19" t="s">
        <v>273</v>
      </c>
      <c r="C756" s="20" t="s">
        <v>69</v>
      </c>
      <c r="D756" s="20" t="s">
        <v>62</v>
      </c>
      <c r="E756" s="97" t="s">
        <v>490</v>
      </c>
      <c r="F756" s="97" t="s">
        <v>89</v>
      </c>
      <c r="G756" s="187">
        <f>279.3-54.8</f>
        <v>224.5</v>
      </c>
      <c r="H756" s="187">
        <v>224.5</v>
      </c>
      <c r="I756" s="187">
        <f t="shared" si="59"/>
        <v>0</v>
      </c>
      <c r="J756" s="189">
        <f t="shared" si="60"/>
        <v>100</v>
      </c>
    </row>
    <row r="757" spans="1:10">
      <c r="A757" s="16" t="s">
        <v>108</v>
      </c>
      <c r="B757" s="19" t="s">
        <v>273</v>
      </c>
      <c r="C757" s="20" t="s">
        <v>69</v>
      </c>
      <c r="D757" s="20" t="s">
        <v>62</v>
      </c>
      <c r="E757" s="97" t="s">
        <v>490</v>
      </c>
      <c r="F757" s="97" t="s">
        <v>109</v>
      </c>
      <c r="G757" s="187">
        <f>G758</f>
        <v>2.0999999999999996</v>
      </c>
      <c r="H757" s="187">
        <f>H758</f>
        <v>2.1</v>
      </c>
      <c r="I757" s="187">
        <f t="shared" si="59"/>
        <v>0</v>
      </c>
      <c r="J757" s="189">
        <f t="shared" si="60"/>
        <v>100.00000000000003</v>
      </c>
    </row>
    <row r="758" spans="1:10">
      <c r="A758" s="16" t="s">
        <v>111</v>
      </c>
      <c r="B758" s="19" t="s">
        <v>273</v>
      </c>
      <c r="C758" s="20" t="s">
        <v>69</v>
      </c>
      <c r="D758" s="20" t="s">
        <v>62</v>
      </c>
      <c r="E758" s="97" t="s">
        <v>490</v>
      </c>
      <c r="F758" s="97" t="s">
        <v>112</v>
      </c>
      <c r="G758" s="187">
        <f>10-7.9</f>
        <v>2.0999999999999996</v>
      </c>
      <c r="H758" s="187">
        <v>2.1</v>
      </c>
      <c r="I758" s="187">
        <f t="shared" si="59"/>
        <v>0</v>
      </c>
      <c r="J758" s="189">
        <f t="shared" si="60"/>
        <v>100.00000000000003</v>
      </c>
    </row>
    <row r="759" spans="1:10">
      <c r="A759" s="15" t="s">
        <v>82</v>
      </c>
      <c r="B759" s="35" t="s">
        <v>273</v>
      </c>
      <c r="C759" s="31" t="s">
        <v>69</v>
      </c>
      <c r="D759" s="31" t="s">
        <v>64</v>
      </c>
      <c r="E759" s="100"/>
      <c r="F759" s="100"/>
      <c r="G759" s="185">
        <f>G761+G768+G773+G778+G799</f>
        <v>14220.3</v>
      </c>
      <c r="H759" s="185">
        <f>H761+H768+H773+H778+H799</f>
        <v>13398.8</v>
      </c>
      <c r="I759" s="187">
        <f t="shared" si="59"/>
        <v>821.5</v>
      </c>
      <c r="J759" s="189">
        <f t="shared" si="60"/>
        <v>94.223047333741206</v>
      </c>
    </row>
    <row r="760" spans="1:10">
      <c r="A760" s="16" t="s">
        <v>430</v>
      </c>
      <c r="B760" s="19" t="s">
        <v>273</v>
      </c>
      <c r="C760" s="20" t="s">
        <v>69</v>
      </c>
      <c r="D760" s="20" t="s">
        <v>64</v>
      </c>
      <c r="E760" s="102" t="s">
        <v>431</v>
      </c>
      <c r="F760" s="97"/>
      <c r="G760" s="187">
        <f>G761+G768+G773</f>
        <v>313.5</v>
      </c>
      <c r="H760" s="187">
        <f>H761+H768+H773</f>
        <v>313.5</v>
      </c>
      <c r="I760" s="187">
        <f t="shared" si="59"/>
        <v>0</v>
      </c>
      <c r="J760" s="189">
        <f t="shared" si="60"/>
        <v>100</v>
      </c>
    </row>
    <row r="761" spans="1:10" ht="25.5">
      <c r="A761" s="28" t="str">
        <f>'МП пр.5'!A118</f>
        <v>Муниципальная программа "Развитие культуры в Сусуманском городском округе на 2018- 2022 годы"</v>
      </c>
      <c r="B761" s="19" t="s">
        <v>273</v>
      </c>
      <c r="C761" s="20" t="s">
        <v>69</v>
      </c>
      <c r="D761" s="20" t="s">
        <v>64</v>
      </c>
      <c r="E761" s="102" t="str">
        <f>'МП пр.5'!B118</f>
        <v xml:space="preserve">7Е 0 00 00000 </v>
      </c>
      <c r="F761" s="97"/>
      <c r="G761" s="187">
        <f>G762</f>
        <v>261.60000000000002</v>
      </c>
      <c r="H761" s="187">
        <f>H762</f>
        <v>261.60000000000002</v>
      </c>
      <c r="I761" s="187">
        <f t="shared" si="59"/>
        <v>0</v>
      </c>
      <c r="J761" s="189">
        <f t="shared" si="60"/>
        <v>100</v>
      </c>
    </row>
    <row r="762" spans="1:10" ht="25.5">
      <c r="A762" s="28" t="str">
        <f>'МП пр.5'!A132</f>
        <v>Основное мероприятие "Сохранение культурного наследия и творческого потенциала"</v>
      </c>
      <c r="B762" s="19" t="s">
        <v>273</v>
      </c>
      <c r="C762" s="20" t="s">
        <v>69</v>
      </c>
      <c r="D762" s="20" t="s">
        <v>64</v>
      </c>
      <c r="E762" s="102" t="str">
        <f>'МП пр.5'!B132</f>
        <v xml:space="preserve">7Е 0 02 00000 </v>
      </c>
      <c r="F762" s="97"/>
      <c r="G762" s="187">
        <f>G763</f>
        <v>261.60000000000002</v>
      </c>
      <c r="H762" s="187">
        <f>H763</f>
        <v>261.60000000000002</v>
      </c>
      <c r="I762" s="187">
        <f t="shared" si="59"/>
        <v>0</v>
      </c>
      <c r="J762" s="189">
        <f t="shared" si="60"/>
        <v>100</v>
      </c>
    </row>
    <row r="763" spans="1:10" ht="25.5">
      <c r="A763" s="16" t="str">
        <f>'МП пр.5'!A139</f>
        <v>Проведение и участие в конкурсах, фестивалях, выставках, концертах, мастер- классах</v>
      </c>
      <c r="B763" s="19" t="s">
        <v>273</v>
      </c>
      <c r="C763" s="20" t="s">
        <v>69</v>
      </c>
      <c r="D763" s="20" t="s">
        <v>64</v>
      </c>
      <c r="E763" s="102" t="str">
        <f>'МП пр.5'!B139</f>
        <v xml:space="preserve">7Е 0 02 96120 </v>
      </c>
      <c r="F763" s="100"/>
      <c r="G763" s="187">
        <f>G764+G766</f>
        <v>261.60000000000002</v>
      </c>
      <c r="H763" s="187">
        <f>H764+H766</f>
        <v>261.60000000000002</v>
      </c>
      <c r="I763" s="187">
        <f t="shared" si="59"/>
        <v>0</v>
      </c>
      <c r="J763" s="189">
        <f t="shared" si="60"/>
        <v>100</v>
      </c>
    </row>
    <row r="764" spans="1:10" ht="51">
      <c r="A764" s="16" t="s">
        <v>90</v>
      </c>
      <c r="B764" s="19" t="s">
        <v>273</v>
      </c>
      <c r="C764" s="20" t="s">
        <v>69</v>
      </c>
      <c r="D764" s="20" t="s">
        <v>64</v>
      </c>
      <c r="E764" s="102" t="s">
        <v>346</v>
      </c>
      <c r="F764" s="97" t="s">
        <v>91</v>
      </c>
      <c r="G764" s="187">
        <f>G765</f>
        <v>53.2</v>
      </c>
      <c r="H764" s="187">
        <f>H765</f>
        <v>53.2</v>
      </c>
      <c r="I764" s="187">
        <f t="shared" si="59"/>
        <v>0</v>
      </c>
      <c r="J764" s="189">
        <f t="shared" si="60"/>
        <v>100</v>
      </c>
    </row>
    <row r="765" spans="1:10">
      <c r="A765" s="16" t="s">
        <v>206</v>
      </c>
      <c r="B765" s="19" t="s">
        <v>273</v>
      </c>
      <c r="C765" s="20" t="s">
        <v>69</v>
      </c>
      <c r="D765" s="20" t="s">
        <v>64</v>
      </c>
      <c r="E765" s="102" t="s">
        <v>346</v>
      </c>
      <c r="F765" s="97" t="s">
        <v>207</v>
      </c>
      <c r="G765" s="187">
        <f>'МП пр.5'!G144</f>
        <v>53.2</v>
      </c>
      <c r="H765" s="187">
        <f>'МП пр.5'!H144</f>
        <v>53.2</v>
      </c>
      <c r="I765" s="187">
        <f t="shared" si="59"/>
        <v>0</v>
      </c>
      <c r="J765" s="189">
        <f t="shared" si="60"/>
        <v>100</v>
      </c>
    </row>
    <row r="766" spans="1:10" ht="25.5">
      <c r="A766" s="16" t="s">
        <v>331</v>
      </c>
      <c r="B766" s="19" t="s">
        <v>273</v>
      </c>
      <c r="C766" s="20" t="s">
        <v>69</v>
      </c>
      <c r="D766" s="20" t="s">
        <v>64</v>
      </c>
      <c r="E766" s="102" t="s">
        <v>346</v>
      </c>
      <c r="F766" s="97" t="s">
        <v>92</v>
      </c>
      <c r="G766" s="187">
        <f>G767</f>
        <v>208.4</v>
      </c>
      <c r="H766" s="187">
        <f>H767</f>
        <v>208.4</v>
      </c>
      <c r="I766" s="187">
        <f t="shared" si="59"/>
        <v>0</v>
      </c>
      <c r="J766" s="189">
        <f t="shared" si="60"/>
        <v>100</v>
      </c>
    </row>
    <row r="767" spans="1:10" ht="25.5">
      <c r="A767" s="16" t="s">
        <v>556</v>
      </c>
      <c r="B767" s="19" t="s">
        <v>273</v>
      </c>
      <c r="C767" s="20" t="s">
        <v>69</v>
      </c>
      <c r="D767" s="20" t="s">
        <v>64</v>
      </c>
      <c r="E767" s="102" t="s">
        <v>346</v>
      </c>
      <c r="F767" s="97" t="s">
        <v>89</v>
      </c>
      <c r="G767" s="187">
        <f>'МП пр.5'!G147</f>
        <v>208.4</v>
      </c>
      <c r="H767" s="187">
        <f>'МП пр.5'!H147</f>
        <v>208.4</v>
      </c>
      <c r="I767" s="187">
        <f t="shared" si="59"/>
        <v>0</v>
      </c>
      <c r="J767" s="189">
        <f t="shared" si="60"/>
        <v>100</v>
      </c>
    </row>
    <row r="768" spans="1:10" ht="25.5">
      <c r="A768" s="28" t="str">
        <f>'МП пр.5'!A257</f>
        <v>Муниципальная программа  "Пожарная безопасность в Сусуманском городском округе на 2018- 2022 годы"</v>
      </c>
      <c r="B768" s="19" t="s">
        <v>273</v>
      </c>
      <c r="C768" s="20" t="s">
        <v>69</v>
      </c>
      <c r="D768" s="20" t="s">
        <v>64</v>
      </c>
      <c r="E768" s="102" t="str">
        <f>'МП пр.5'!B257</f>
        <v xml:space="preserve">7П 0 00 00000 </v>
      </c>
      <c r="F768" s="97"/>
      <c r="G768" s="187">
        <f t="shared" ref="G768:H771" si="61">G769</f>
        <v>36.4</v>
      </c>
      <c r="H768" s="187">
        <f t="shared" si="61"/>
        <v>36.4</v>
      </c>
      <c r="I768" s="187">
        <f t="shared" si="59"/>
        <v>0</v>
      </c>
      <c r="J768" s="189">
        <f t="shared" si="60"/>
        <v>100</v>
      </c>
    </row>
    <row r="769" spans="1:10" ht="38.25">
      <c r="A769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69" s="19" t="s">
        <v>273</v>
      </c>
      <c r="C769" s="20" t="s">
        <v>69</v>
      </c>
      <c r="D769" s="20" t="s">
        <v>64</v>
      </c>
      <c r="E769" s="102" t="str">
        <f>'МП пр.5'!B258</f>
        <v xml:space="preserve">7П 0 01 00000 </v>
      </c>
      <c r="F769" s="97"/>
      <c r="G769" s="187">
        <f t="shared" si="61"/>
        <v>36.4</v>
      </c>
      <c r="H769" s="187">
        <f t="shared" si="61"/>
        <v>36.4</v>
      </c>
      <c r="I769" s="187">
        <f t="shared" si="59"/>
        <v>0</v>
      </c>
      <c r="J769" s="189">
        <f t="shared" si="60"/>
        <v>100</v>
      </c>
    </row>
    <row r="770" spans="1:10" ht="25.5">
      <c r="A770" s="28" t="str">
        <f>'МП пр.5'!A299</f>
        <v>Приобретение и заправка огнетушителей, средств индивидуальной защиты</v>
      </c>
      <c r="B770" s="19" t="s">
        <v>273</v>
      </c>
      <c r="C770" s="20" t="s">
        <v>69</v>
      </c>
      <c r="D770" s="20" t="s">
        <v>64</v>
      </c>
      <c r="E770" s="102" t="str">
        <f>'МП пр.5'!B299</f>
        <v xml:space="preserve">7П 0 01 94300 </v>
      </c>
      <c r="F770" s="97"/>
      <c r="G770" s="187">
        <f t="shared" si="61"/>
        <v>36.4</v>
      </c>
      <c r="H770" s="187">
        <f t="shared" si="61"/>
        <v>36.4</v>
      </c>
      <c r="I770" s="187">
        <f t="shared" si="59"/>
        <v>0</v>
      </c>
      <c r="J770" s="189">
        <f t="shared" si="60"/>
        <v>100</v>
      </c>
    </row>
    <row r="771" spans="1:10" ht="25.5">
      <c r="A771" s="16" t="s">
        <v>331</v>
      </c>
      <c r="B771" s="19" t="s">
        <v>273</v>
      </c>
      <c r="C771" s="20" t="s">
        <v>69</v>
      </c>
      <c r="D771" s="20" t="s">
        <v>64</v>
      </c>
      <c r="E771" s="102" t="s">
        <v>247</v>
      </c>
      <c r="F771" s="97" t="s">
        <v>92</v>
      </c>
      <c r="G771" s="187">
        <f t="shared" si="61"/>
        <v>36.4</v>
      </c>
      <c r="H771" s="187">
        <f t="shared" si="61"/>
        <v>36.4</v>
      </c>
      <c r="I771" s="187">
        <f t="shared" si="59"/>
        <v>0</v>
      </c>
      <c r="J771" s="189">
        <f t="shared" si="60"/>
        <v>100</v>
      </c>
    </row>
    <row r="772" spans="1:10" ht="25.5">
      <c r="A772" s="16" t="s">
        <v>556</v>
      </c>
      <c r="B772" s="19" t="s">
        <v>273</v>
      </c>
      <c r="C772" s="20" t="s">
        <v>69</v>
      </c>
      <c r="D772" s="20" t="s">
        <v>64</v>
      </c>
      <c r="E772" s="102" t="s">
        <v>247</v>
      </c>
      <c r="F772" s="97" t="s">
        <v>89</v>
      </c>
      <c r="G772" s="187">
        <f>'МП пр.5'!G313</f>
        <v>36.4</v>
      </c>
      <c r="H772" s="187">
        <f>'МП пр.5'!H313</f>
        <v>36.4</v>
      </c>
      <c r="I772" s="187">
        <f t="shared" si="59"/>
        <v>0</v>
      </c>
      <c r="J772" s="189">
        <f t="shared" si="60"/>
        <v>100</v>
      </c>
    </row>
    <row r="773" spans="1:10" ht="51">
      <c r="A773" s="16" t="str">
        <f>'МП пр.5'!A654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773" s="19" t="s">
        <v>273</v>
      </c>
      <c r="C773" s="20" t="s">
        <v>69</v>
      </c>
      <c r="D773" s="20" t="s">
        <v>64</v>
      </c>
      <c r="E773" s="97" t="str">
        <f>'МП пр.5'!B654</f>
        <v>7L 0 00 00000</v>
      </c>
      <c r="F773" s="98"/>
      <c r="G773" s="187">
        <f t="shared" ref="G773:H776" si="62">G774</f>
        <v>15.5</v>
      </c>
      <c r="H773" s="187">
        <f t="shared" si="62"/>
        <v>15.5</v>
      </c>
      <c r="I773" s="187">
        <f t="shared" si="59"/>
        <v>0</v>
      </c>
      <c r="J773" s="189">
        <f t="shared" si="60"/>
        <v>100</v>
      </c>
    </row>
    <row r="774" spans="1:10" ht="25.5">
      <c r="A774" s="16" t="str">
        <f>'МП пр.5'!A675</f>
        <v>Основное мероприятие "Гармонизация межнациональных отношений"</v>
      </c>
      <c r="B774" s="20" t="s">
        <v>273</v>
      </c>
      <c r="C774" s="20" t="s">
        <v>69</v>
      </c>
      <c r="D774" s="20" t="s">
        <v>64</v>
      </c>
      <c r="E774" s="97" t="str">
        <f>'МП пр.5'!B675</f>
        <v>7L 0 03 00000</v>
      </c>
      <c r="F774" s="98"/>
      <c r="G774" s="187">
        <f t="shared" si="62"/>
        <v>15.5</v>
      </c>
      <c r="H774" s="187">
        <f t="shared" si="62"/>
        <v>15.5</v>
      </c>
      <c r="I774" s="187">
        <f t="shared" si="59"/>
        <v>0</v>
      </c>
      <c r="J774" s="189">
        <f t="shared" si="60"/>
        <v>100</v>
      </c>
    </row>
    <row r="775" spans="1:10" ht="38.25">
      <c r="A775" s="16" t="str">
        <f>'МП пр.5'!A682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75" s="20" t="s">
        <v>273</v>
      </c>
      <c r="C775" s="20" t="s">
        <v>69</v>
      </c>
      <c r="D775" s="20" t="s">
        <v>64</v>
      </c>
      <c r="E775" s="97" t="str">
        <f>'МП пр.5'!B682</f>
        <v>7L 0 03 97200</v>
      </c>
      <c r="F775" s="98"/>
      <c r="G775" s="187">
        <f t="shared" si="62"/>
        <v>15.5</v>
      </c>
      <c r="H775" s="187">
        <f t="shared" si="62"/>
        <v>15.5</v>
      </c>
      <c r="I775" s="187">
        <f t="shared" si="59"/>
        <v>0</v>
      </c>
      <c r="J775" s="189">
        <f t="shared" si="60"/>
        <v>100</v>
      </c>
    </row>
    <row r="776" spans="1:10" ht="25.5">
      <c r="A776" s="16" t="s">
        <v>331</v>
      </c>
      <c r="B776" s="20" t="s">
        <v>273</v>
      </c>
      <c r="C776" s="20" t="s">
        <v>69</v>
      </c>
      <c r="D776" s="20" t="s">
        <v>64</v>
      </c>
      <c r="E776" s="97" t="s">
        <v>406</v>
      </c>
      <c r="F776" s="97" t="s">
        <v>92</v>
      </c>
      <c r="G776" s="187">
        <f t="shared" si="62"/>
        <v>15.5</v>
      </c>
      <c r="H776" s="187">
        <f t="shared" si="62"/>
        <v>15.5</v>
      </c>
      <c r="I776" s="187">
        <f t="shared" si="59"/>
        <v>0</v>
      </c>
      <c r="J776" s="189">
        <f t="shared" si="60"/>
        <v>100</v>
      </c>
    </row>
    <row r="777" spans="1:10" ht="25.5">
      <c r="A777" s="16" t="s">
        <v>556</v>
      </c>
      <c r="B777" s="20" t="s">
        <v>273</v>
      </c>
      <c r="C777" s="20" t="s">
        <v>69</v>
      </c>
      <c r="D777" s="20" t="s">
        <v>64</v>
      </c>
      <c r="E777" s="97" t="s">
        <v>406</v>
      </c>
      <c r="F777" s="97" t="s">
        <v>89</v>
      </c>
      <c r="G777" s="187">
        <f>'МП пр.5'!G692</f>
        <v>15.5</v>
      </c>
      <c r="H777" s="187">
        <f>'МП пр.5'!H692</f>
        <v>15.5</v>
      </c>
      <c r="I777" s="187">
        <f t="shared" si="59"/>
        <v>0</v>
      </c>
      <c r="J777" s="189">
        <f t="shared" si="60"/>
        <v>100</v>
      </c>
    </row>
    <row r="778" spans="1:10" ht="38.25">
      <c r="A778" s="16" t="s">
        <v>275</v>
      </c>
      <c r="B778" s="19" t="s">
        <v>273</v>
      </c>
      <c r="C778" s="20" t="s">
        <v>69</v>
      </c>
      <c r="D778" s="20" t="s">
        <v>64</v>
      </c>
      <c r="E778" s="97" t="s">
        <v>173</v>
      </c>
      <c r="F778" s="97"/>
      <c r="G778" s="187">
        <f>G779</f>
        <v>6886.9000000000005</v>
      </c>
      <c r="H778" s="187">
        <f>H779</f>
        <v>6086.2</v>
      </c>
      <c r="I778" s="187">
        <f t="shared" si="59"/>
        <v>800.70000000000073</v>
      </c>
      <c r="J778" s="189">
        <f t="shared" si="60"/>
        <v>88.373578823563577</v>
      </c>
    </row>
    <row r="779" spans="1:10">
      <c r="A779" s="16" t="s">
        <v>46</v>
      </c>
      <c r="B779" s="19" t="s">
        <v>273</v>
      </c>
      <c r="C779" s="20" t="s">
        <v>69</v>
      </c>
      <c r="D779" s="20" t="s">
        <v>64</v>
      </c>
      <c r="E779" s="97" t="s">
        <v>179</v>
      </c>
      <c r="F779" s="97"/>
      <c r="G779" s="187">
        <f>G780+G786+G791+G794+G783</f>
        <v>6886.9000000000005</v>
      </c>
      <c r="H779" s="187">
        <f>H780+H786+H791+H794+H783</f>
        <v>6086.2</v>
      </c>
      <c r="I779" s="187">
        <f t="shared" si="59"/>
        <v>800.70000000000073</v>
      </c>
      <c r="J779" s="189">
        <f t="shared" si="60"/>
        <v>88.373578823563577</v>
      </c>
    </row>
    <row r="780" spans="1:10" ht="25.5">
      <c r="A780" s="16" t="s">
        <v>175</v>
      </c>
      <c r="B780" s="19" t="s">
        <v>273</v>
      </c>
      <c r="C780" s="20" t="s">
        <v>69</v>
      </c>
      <c r="D780" s="20" t="s">
        <v>64</v>
      </c>
      <c r="E780" s="97" t="s">
        <v>180</v>
      </c>
      <c r="F780" s="97"/>
      <c r="G780" s="187">
        <f>G781</f>
        <v>5775.1</v>
      </c>
      <c r="H780" s="187">
        <f>H781</f>
        <v>5300.7</v>
      </c>
      <c r="I780" s="187">
        <f t="shared" si="59"/>
        <v>474.40000000000055</v>
      </c>
      <c r="J780" s="189">
        <f t="shared" si="60"/>
        <v>91.78542362902806</v>
      </c>
    </row>
    <row r="781" spans="1:10" ht="51">
      <c r="A781" s="16" t="s">
        <v>90</v>
      </c>
      <c r="B781" s="19" t="s">
        <v>273</v>
      </c>
      <c r="C781" s="20" t="s">
        <v>69</v>
      </c>
      <c r="D781" s="20" t="s">
        <v>64</v>
      </c>
      <c r="E781" s="97" t="s">
        <v>180</v>
      </c>
      <c r="F781" s="97" t="s">
        <v>91</v>
      </c>
      <c r="G781" s="187">
        <f>G782</f>
        <v>5775.1</v>
      </c>
      <c r="H781" s="187">
        <f>H782</f>
        <v>5300.7</v>
      </c>
      <c r="I781" s="187">
        <f t="shared" si="59"/>
        <v>474.40000000000055</v>
      </c>
      <c r="J781" s="189">
        <f t="shared" si="60"/>
        <v>91.78542362902806</v>
      </c>
    </row>
    <row r="782" spans="1:10" ht="25.5">
      <c r="A782" s="16" t="s">
        <v>87</v>
      </c>
      <c r="B782" s="19" t="s">
        <v>273</v>
      </c>
      <c r="C782" s="20" t="s">
        <v>69</v>
      </c>
      <c r="D782" s="20" t="s">
        <v>64</v>
      </c>
      <c r="E782" s="97" t="s">
        <v>180</v>
      </c>
      <c r="F782" s="97" t="s">
        <v>88</v>
      </c>
      <c r="G782" s="187">
        <f>5775.1</f>
        <v>5775.1</v>
      </c>
      <c r="H782" s="187">
        <f>4207.2+7+1086.5</f>
        <v>5300.7</v>
      </c>
      <c r="I782" s="187">
        <f t="shared" si="59"/>
        <v>474.40000000000055</v>
      </c>
      <c r="J782" s="189">
        <f t="shared" si="60"/>
        <v>91.78542362902806</v>
      </c>
    </row>
    <row r="783" spans="1:10" ht="38.25">
      <c r="A783" s="161" t="s">
        <v>687</v>
      </c>
      <c r="B783" s="20" t="s">
        <v>273</v>
      </c>
      <c r="C783" s="20" t="s">
        <v>69</v>
      </c>
      <c r="D783" s="20" t="s">
        <v>64</v>
      </c>
      <c r="E783" s="97" t="s">
        <v>688</v>
      </c>
      <c r="F783" s="97"/>
      <c r="G783" s="187">
        <f>G784</f>
        <v>127</v>
      </c>
      <c r="H783" s="187">
        <f>H784</f>
        <v>127</v>
      </c>
      <c r="I783" s="187">
        <f t="shared" ref="I783:I846" si="63">G783-H783</f>
        <v>0</v>
      </c>
      <c r="J783" s="189">
        <f t="shared" ref="J783:J846" si="64">H783/G783*100</f>
        <v>100</v>
      </c>
    </row>
    <row r="784" spans="1:10" ht="51">
      <c r="A784" s="16" t="s">
        <v>90</v>
      </c>
      <c r="B784" s="20" t="s">
        <v>273</v>
      </c>
      <c r="C784" s="20" t="s">
        <v>69</v>
      </c>
      <c r="D784" s="20" t="s">
        <v>64</v>
      </c>
      <c r="E784" s="97" t="s">
        <v>688</v>
      </c>
      <c r="F784" s="97" t="s">
        <v>91</v>
      </c>
      <c r="G784" s="187">
        <f>G785</f>
        <v>127</v>
      </c>
      <c r="H784" s="187">
        <f>H785</f>
        <v>127</v>
      </c>
      <c r="I784" s="187">
        <f t="shared" si="63"/>
        <v>0</v>
      </c>
      <c r="J784" s="189">
        <f t="shared" si="64"/>
        <v>100</v>
      </c>
    </row>
    <row r="785" spans="1:10" ht="25.5">
      <c r="A785" s="16" t="s">
        <v>87</v>
      </c>
      <c r="B785" s="20" t="s">
        <v>273</v>
      </c>
      <c r="C785" s="20" t="s">
        <v>69</v>
      </c>
      <c r="D785" s="20" t="s">
        <v>64</v>
      </c>
      <c r="E785" s="97" t="s">
        <v>688</v>
      </c>
      <c r="F785" s="97" t="s">
        <v>88</v>
      </c>
      <c r="G785" s="187">
        <f>100+27</f>
        <v>127</v>
      </c>
      <c r="H785" s="187">
        <f>111.7+15.3</f>
        <v>127</v>
      </c>
      <c r="I785" s="187">
        <f t="shared" si="63"/>
        <v>0</v>
      </c>
      <c r="J785" s="189">
        <f t="shared" si="64"/>
        <v>100</v>
      </c>
    </row>
    <row r="786" spans="1:10">
      <c r="A786" s="16" t="s">
        <v>176</v>
      </c>
      <c r="B786" s="19" t="s">
        <v>273</v>
      </c>
      <c r="C786" s="20" t="s">
        <v>69</v>
      </c>
      <c r="D786" s="20" t="s">
        <v>64</v>
      </c>
      <c r="E786" s="97" t="s">
        <v>181</v>
      </c>
      <c r="F786" s="97"/>
      <c r="G786" s="187">
        <f>G787+G789</f>
        <v>387.70000000000005</v>
      </c>
      <c r="H786" s="187">
        <f>H787+H789</f>
        <v>300.8</v>
      </c>
      <c r="I786" s="187">
        <f t="shared" si="63"/>
        <v>86.900000000000034</v>
      </c>
      <c r="J786" s="189">
        <f t="shared" si="64"/>
        <v>77.585762187258183</v>
      </c>
    </row>
    <row r="787" spans="1:10" ht="25.5">
      <c r="A787" s="16" t="s">
        <v>331</v>
      </c>
      <c r="B787" s="19" t="s">
        <v>273</v>
      </c>
      <c r="C787" s="20" t="s">
        <v>69</v>
      </c>
      <c r="D787" s="20" t="s">
        <v>64</v>
      </c>
      <c r="E787" s="97" t="s">
        <v>181</v>
      </c>
      <c r="F787" s="97" t="s">
        <v>92</v>
      </c>
      <c r="G787" s="187">
        <f>G788</f>
        <v>329.6</v>
      </c>
      <c r="H787" s="187">
        <f>H788</f>
        <v>299.5</v>
      </c>
      <c r="I787" s="187">
        <f t="shared" si="63"/>
        <v>30.100000000000023</v>
      </c>
      <c r="J787" s="189">
        <f t="shared" si="64"/>
        <v>90.867718446601927</v>
      </c>
    </row>
    <row r="788" spans="1:10" ht="25.5">
      <c r="A788" s="16" t="s">
        <v>556</v>
      </c>
      <c r="B788" s="19" t="s">
        <v>273</v>
      </c>
      <c r="C788" s="20" t="s">
        <v>69</v>
      </c>
      <c r="D788" s="20" t="s">
        <v>64</v>
      </c>
      <c r="E788" s="97" t="s">
        <v>181</v>
      </c>
      <c r="F788" s="97" t="s">
        <v>89</v>
      </c>
      <c r="G788" s="187">
        <v>329.6</v>
      </c>
      <c r="H788" s="187">
        <v>299.5</v>
      </c>
      <c r="I788" s="187">
        <f t="shared" si="63"/>
        <v>30.100000000000023</v>
      </c>
      <c r="J788" s="189">
        <f t="shared" si="64"/>
        <v>90.867718446601927</v>
      </c>
    </row>
    <row r="789" spans="1:10">
      <c r="A789" s="16" t="s">
        <v>108</v>
      </c>
      <c r="B789" s="19" t="s">
        <v>273</v>
      </c>
      <c r="C789" s="20" t="s">
        <v>69</v>
      </c>
      <c r="D789" s="20" t="s">
        <v>64</v>
      </c>
      <c r="E789" s="97" t="s">
        <v>181</v>
      </c>
      <c r="F789" s="97" t="s">
        <v>109</v>
      </c>
      <c r="G789" s="187">
        <f>G790</f>
        <v>58.099999999999994</v>
      </c>
      <c r="H789" s="187">
        <f>H790</f>
        <v>1.3</v>
      </c>
      <c r="I789" s="187">
        <f t="shared" si="63"/>
        <v>56.8</v>
      </c>
      <c r="J789" s="189">
        <f t="shared" si="64"/>
        <v>2.2375215146299485</v>
      </c>
    </row>
    <row r="790" spans="1:10">
      <c r="A790" s="16" t="s">
        <v>111</v>
      </c>
      <c r="B790" s="19" t="s">
        <v>273</v>
      </c>
      <c r="C790" s="20" t="s">
        <v>69</v>
      </c>
      <c r="D790" s="20" t="s">
        <v>64</v>
      </c>
      <c r="E790" s="97" t="s">
        <v>181</v>
      </c>
      <c r="F790" s="97" t="s">
        <v>112</v>
      </c>
      <c r="G790" s="187">
        <f>79.1-21</f>
        <v>58.099999999999994</v>
      </c>
      <c r="H790" s="187">
        <v>1.3</v>
      </c>
      <c r="I790" s="187">
        <f t="shared" si="63"/>
        <v>56.8</v>
      </c>
      <c r="J790" s="189">
        <f t="shared" si="64"/>
        <v>2.2375215146299485</v>
      </c>
    </row>
    <row r="791" spans="1:10" ht="63.75">
      <c r="A791" s="16" t="s">
        <v>202</v>
      </c>
      <c r="B791" s="19" t="s">
        <v>273</v>
      </c>
      <c r="C791" s="20" t="s">
        <v>69</v>
      </c>
      <c r="D791" s="20" t="s">
        <v>64</v>
      </c>
      <c r="E791" s="97" t="s">
        <v>414</v>
      </c>
      <c r="F791" s="97"/>
      <c r="G791" s="187">
        <f>G792</f>
        <v>281.10000000000002</v>
      </c>
      <c r="H791" s="187">
        <f>H792</f>
        <v>63.7</v>
      </c>
      <c r="I791" s="187">
        <f t="shared" si="63"/>
        <v>217.40000000000003</v>
      </c>
      <c r="J791" s="189">
        <f t="shared" si="64"/>
        <v>22.660974742084665</v>
      </c>
    </row>
    <row r="792" spans="1:10" ht="51">
      <c r="A792" s="16" t="s">
        <v>90</v>
      </c>
      <c r="B792" s="19" t="s">
        <v>273</v>
      </c>
      <c r="C792" s="20" t="s">
        <v>69</v>
      </c>
      <c r="D792" s="20" t="s">
        <v>64</v>
      </c>
      <c r="E792" s="97" t="s">
        <v>414</v>
      </c>
      <c r="F792" s="97" t="s">
        <v>91</v>
      </c>
      <c r="G792" s="187">
        <f>G793</f>
        <v>281.10000000000002</v>
      </c>
      <c r="H792" s="187">
        <f>H793</f>
        <v>63.7</v>
      </c>
      <c r="I792" s="187">
        <f t="shared" si="63"/>
        <v>217.40000000000003</v>
      </c>
      <c r="J792" s="189">
        <f t="shared" si="64"/>
        <v>22.660974742084665</v>
      </c>
    </row>
    <row r="793" spans="1:10" ht="25.5">
      <c r="A793" s="16" t="s">
        <v>87</v>
      </c>
      <c r="B793" s="19" t="s">
        <v>273</v>
      </c>
      <c r="C793" s="20" t="s">
        <v>69</v>
      </c>
      <c r="D793" s="20" t="s">
        <v>64</v>
      </c>
      <c r="E793" s="97" t="s">
        <v>414</v>
      </c>
      <c r="F793" s="97" t="s">
        <v>88</v>
      </c>
      <c r="G793" s="187">
        <f>325-32.7-11.2</f>
        <v>281.10000000000002</v>
      </c>
      <c r="H793" s="187">
        <v>63.7</v>
      </c>
      <c r="I793" s="187">
        <f t="shared" si="63"/>
        <v>217.40000000000003</v>
      </c>
      <c r="J793" s="189">
        <f t="shared" si="64"/>
        <v>22.660974742084665</v>
      </c>
    </row>
    <row r="794" spans="1:10">
      <c r="A794" s="16" t="s">
        <v>174</v>
      </c>
      <c r="B794" s="19" t="s">
        <v>273</v>
      </c>
      <c r="C794" s="20" t="s">
        <v>69</v>
      </c>
      <c r="D794" s="20" t="s">
        <v>64</v>
      </c>
      <c r="E794" s="97" t="s">
        <v>415</v>
      </c>
      <c r="F794" s="97"/>
      <c r="G794" s="187">
        <f>G795+G797</f>
        <v>316</v>
      </c>
      <c r="H794" s="187">
        <f>H795+H797</f>
        <v>294</v>
      </c>
      <c r="I794" s="187">
        <f t="shared" si="63"/>
        <v>22</v>
      </c>
      <c r="J794" s="189">
        <f t="shared" si="64"/>
        <v>93.037974683544306</v>
      </c>
    </row>
    <row r="795" spans="1:10" ht="51">
      <c r="A795" s="16" t="s">
        <v>90</v>
      </c>
      <c r="B795" s="19" t="s">
        <v>273</v>
      </c>
      <c r="C795" s="20" t="s">
        <v>69</v>
      </c>
      <c r="D795" s="20" t="s">
        <v>64</v>
      </c>
      <c r="E795" s="97" t="s">
        <v>415</v>
      </c>
      <c r="F795" s="97" t="s">
        <v>91</v>
      </c>
      <c r="G795" s="187">
        <f>G796</f>
        <v>32</v>
      </c>
      <c r="H795" s="187">
        <f>H796</f>
        <v>10</v>
      </c>
      <c r="I795" s="187">
        <f t="shared" si="63"/>
        <v>22</v>
      </c>
      <c r="J795" s="189">
        <f t="shared" si="64"/>
        <v>31.25</v>
      </c>
    </row>
    <row r="796" spans="1:10" ht="25.5">
      <c r="A796" s="16" t="s">
        <v>87</v>
      </c>
      <c r="B796" s="19" t="s">
        <v>273</v>
      </c>
      <c r="C796" s="20" t="s">
        <v>69</v>
      </c>
      <c r="D796" s="20" t="s">
        <v>64</v>
      </c>
      <c r="E796" s="97" t="s">
        <v>415</v>
      </c>
      <c r="F796" s="97" t="s">
        <v>88</v>
      </c>
      <c r="G796" s="187">
        <f>11+21</f>
        <v>32</v>
      </c>
      <c r="H796" s="187">
        <v>10</v>
      </c>
      <c r="I796" s="187">
        <f t="shared" si="63"/>
        <v>22</v>
      </c>
      <c r="J796" s="189">
        <f t="shared" si="64"/>
        <v>31.25</v>
      </c>
    </row>
    <row r="797" spans="1:10">
      <c r="A797" s="16" t="s">
        <v>99</v>
      </c>
      <c r="B797" s="19" t="s">
        <v>273</v>
      </c>
      <c r="C797" s="20" t="s">
        <v>69</v>
      </c>
      <c r="D797" s="20" t="s">
        <v>64</v>
      </c>
      <c r="E797" s="97" t="s">
        <v>415</v>
      </c>
      <c r="F797" s="121">
        <v>300</v>
      </c>
      <c r="G797" s="187">
        <f>G798</f>
        <v>284</v>
      </c>
      <c r="H797" s="187">
        <f>H798</f>
        <v>284</v>
      </c>
      <c r="I797" s="187">
        <f t="shared" si="63"/>
        <v>0</v>
      </c>
      <c r="J797" s="189">
        <f t="shared" si="64"/>
        <v>100</v>
      </c>
    </row>
    <row r="798" spans="1:10" ht="25.5">
      <c r="A798" s="28" t="s">
        <v>114</v>
      </c>
      <c r="B798" s="19" t="s">
        <v>273</v>
      </c>
      <c r="C798" s="20" t="s">
        <v>69</v>
      </c>
      <c r="D798" s="20" t="s">
        <v>64</v>
      </c>
      <c r="E798" s="97" t="s">
        <v>415</v>
      </c>
      <c r="F798" s="121">
        <v>320</v>
      </c>
      <c r="G798" s="187">
        <f>272.8+11.2</f>
        <v>284</v>
      </c>
      <c r="H798" s="187">
        <v>284</v>
      </c>
      <c r="I798" s="187">
        <f t="shared" si="63"/>
        <v>0</v>
      </c>
      <c r="J798" s="189">
        <f t="shared" si="64"/>
        <v>100</v>
      </c>
    </row>
    <row r="799" spans="1:10">
      <c r="A799" s="16" t="s">
        <v>467</v>
      </c>
      <c r="B799" s="19" t="s">
        <v>273</v>
      </c>
      <c r="C799" s="20" t="s">
        <v>69</v>
      </c>
      <c r="D799" s="20" t="s">
        <v>64</v>
      </c>
      <c r="E799" s="97" t="s">
        <v>468</v>
      </c>
      <c r="F799" s="97"/>
      <c r="G799" s="187">
        <f>G800+G807+G810</f>
        <v>7019.9</v>
      </c>
      <c r="H799" s="187">
        <f>H800+H807+H810</f>
        <v>6999.0999999999995</v>
      </c>
      <c r="I799" s="187">
        <f t="shared" si="63"/>
        <v>20.800000000000182</v>
      </c>
      <c r="J799" s="189">
        <f t="shared" si="64"/>
        <v>99.703699482898614</v>
      </c>
    </row>
    <row r="800" spans="1:10" ht="25.5">
      <c r="A800" s="16" t="s">
        <v>261</v>
      </c>
      <c r="B800" s="19" t="s">
        <v>273</v>
      </c>
      <c r="C800" s="20" t="s">
        <v>69</v>
      </c>
      <c r="D800" s="20" t="s">
        <v>64</v>
      </c>
      <c r="E800" s="97" t="s">
        <v>469</v>
      </c>
      <c r="F800" s="97"/>
      <c r="G800" s="187">
        <f>G801+G803+G805</f>
        <v>6688.9</v>
      </c>
      <c r="H800" s="187">
        <f>H801+H803+H805</f>
        <v>6672.9</v>
      </c>
      <c r="I800" s="187">
        <f t="shared" si="63"/>
        <v>16</v>
      </c>
      <c r="J800" s="189">
        <f t="shared" si="64"/>
        <v>99.760797739538646</v>
      </c>
    </row>
    <row r="801" spans="1:10" ht="51">
      <c r="A801" s="16" t="s">
        <v>90</v>
      </c>
      <c r="B801" s="19" t="s">
        <v>273</v>
      </c>
      <c r="C801" s="20" t="s">
        <v>69</v>
      </c>
      <c r="D801" s="20" t="s">
        <v>64</v>
      </c>
      <c r="E801" s="97" t="s">
        <v>469</v>
      </c>
      <c r="F801" s="97" t="s">
        <v>91</v>
      </c>
      <c r="G801" s="187">
        <f>G802</f>
        <v>6225.4</v>
      </c>
      <c r="H801" s="187">
        <f>H802</f>
        <v>6225.2</v>
      </c>
      <c r="I801" s="187">
        <f t="shared" si="63"/>
        <v>0.1999999999998181</v>
      </c>
      <c r="J801" s="189">
        <f t="shared" si="64"/>
        <v>99.996787355029397</v>
      </c>
    </row>
    <row r="802" spans="1:10">
      <c r="A802" s="16" t="s">
        <v>206</v>
      </c>
      <c r="B802" s="19" t="s">
        <v>273</v>
      </c>
      <c r="C802" s="20" t="s">
        <v>69</v>
      </c>
      <c r="D802" s="20" t="s">
        <v>64</v>
      </c>
      <c r="E802" s="97" t="s">
        <v>469</v>
      </c>
      <c r="F802" s="97" t="s">
        <v>207</v>
      </c>
      <c r="G802" s="187">
        <f>5978.9+246.5</f>
        <v>6225.4</v>
      </c>
      <c r="H802" s="187">
        <f>4882.4+1342.8</f>
        <v>6225.2</v>
      </c>
      <c r="I802" s="187">
        <f t="shared" si="63"/>
        <v>0.1999999999998181</v>
      </c>
      <c r="J802" s="189">
        <f t="shared" si="64"/>
        <v>99.996787355029397</v>
      </c>
    </row>
    <row r="803" spans="1:10" ht="25.5">
      <c r="A803" s="16" t="s">
        <v>331</v>
      </c>
      <c r="B803" s="19" t="s">
        <v>273</v>
      </c>
      <c r="C803" s="20" t="s">
        <v>69</v>
      </c>
      <c r="D803" s="20" t="s">
        <v>64</v>
      </c>
      <c r="E803" s="97" t="s">
        <v>469</v>
      </c>
      <c r="F803" s="97" t="s">
        <v>92</v>
      </c>
      <c r="G803" s="187">
        <f>G804</f>
        <v>453.5</v>
      </c>
      <c r="H803" s="187">
        <f>H804</f>
        <v>447.2</v>
      </c>
      <c r="I803" s="187">
        <f t="shared" si="63"/>
        <v>6.3000000000000114</v>
      </c>
      <c r="J803" s="189">
        <f t="shared" si="64"/>
        <v>98.610804851157667</v>
      </c>
    </row>
    <row r="804" spans="1:10" ht="25.5">
      <c r="A804" s="16" t="s">
        <v>556</v>
      </c>
      <c r="B804" s="19" t="s">
        <v>273</v>
      </c>
      <c r="C804" s="20" t="s">
        <v>69</v>
      </c>
      <c r="D804" s="20" t="s">
        <v>64</v>
      </c>
      <c r="E804" s="97" t="s">
        <v>469</v>
      </c>
      <c r="F804" s="97" t="s">
        <v>89</v>
      </c>
      <c r="G804" s="187">
        <f>386+67.5</f>
        <v>453.5</v>
      </c>
      <c r="H804" s="187">
        <v>447.2</v>
      </c>
      <c r="I804" s="187">
        <f t="shared" si="63"/>
        <v>6.3000000000000114</v>
      </c>
      <c r="J804" s="189">
        <f t="shared" si="64"/>
        <v>98.610804851157667</v>
      </c>
    </row>
    <row r="805" spans="1:10">
      <c r="A805" s="16" t="s">
        <v>108</v>
      </c>
      <c r="B805" s="19" t="s">
        <v>273</v>
      </c>
      <c r="C805" s="20" t="s">
        <v>69</v>
      </c>
      <c r="D805" s="20" t="s">
        <v>64</v>
      </c>
      <c r="E805" s="97" t="s">
        <v>469</v>
      </c>
      <c r="F805" s="97" t="s">
        <v>109</v>
      </c>
      <c r="G805" s="187">
        <f>G806</f>
        <v>10</v>
      </c>
      <c r="H805" s="187">
        <f>H806</f>
        <v>0.5</v>
      </c>
      <c r="I805" s="187">
        <f t="shared" si="63"/>
        <v>9.5</v>
      </c>
      <c r="J805" s="189">
        <f t="shared" si="64"/>
        <v>5</v>
      </c>
    </row>
    <row r="806" spans="1:10">
      <c r="A806" s="16" t="s">
        <v>111</v>
      </c>
      <c r="B806" s="19" t="s">
        <v>273</v>
      </c>
      <c r="C806" s="20" t="s">
        <v>69</v>
      </c>
      <c r="D806" s="20" t="s">
        <v>64</v>
      </c>
      <c r="E806" s="97" t="s">
        <v>469</v>
      </c>
      <c r="F806" s="97" t="s">
        <v>112</v>
      </c>
      <c r="G806" s="187">
        <v>10</v>
      </c>
      <c r="H806" s="187">
        <v>0.5</v>
      </c>
      <c r="I806" s="187">
        <f t="shared" si="63"/>
        <v>9.5</v>
      </c>
      <c r="J806" s="189">
        <f t="shared" si="64"/>
        <v>5</v>
      </c>
    </row>
    <row r="807" spans="1:10" ht="63.75">
      <c r="A807" s="16" t="s">
        <v>202</v>
      </c>
      <c r="B807" s="19" t="s">
        <v>273</v>
      </c>
      <c r="C807" s="20" t="s">
        <v>69</v>
      </c>
      <c r="D807" s="20" t="s">
        <v>64</v>
      </c>
      <c r="E807" s="97" t="s">
        <v>470</v>
      </c>
      <c r="F807" s="97"/>
      <c r="G807" s="187">
        <f>G808</f>
        <v>330</v>
      </c>
      <c r="H807" s="187">
        <f>H808</f>
        <v>325.3</v>
      </c>
      <c r="I807" s="187">
        <f t="shared" si="63"/>
        <v>4.6999999999999886</v>
      </c>
      <c r="J807" s="189">
        <f t="shared" si="64"/>
        <v>98.575757575757578</v>
      </c>
    </row>
    <row r="808" spans="1:10" ht="51">
      <c r="A808" s="16" t="s">
        <v>90</v>
      </c>
      <c r="B808" s="19" t="s">
        <v>273</v>
      </c>
      <c r="C808" s="20" t="s">
        <v>69</v>
      </c>
      <c r="D808" s="20" t="s">
        <v>64</v>
      </c>
      <c r="E808" s="97" t="s">
        <v>470</v>
      </c>
      <c r="F808" s="97" t="s">
        <v>91</v>
      </c>
      <c r="G808" s="187">
        <f>G809</f>
        <v>330</v>
      </c>
      <c r="H808" s="187">
        <f>H809</f>
        <v>325.3</v>
      </c>
      <c r="I808" s="187">
        <f t="shared" si="63"/>
        <v>4.6999999999999886</v>
      </c>
      <c r="J808" s="189">
        <f t="shared" si="64"/>
        <v>98.575757575757578</v>
      </c>
    </row>
    <row r="809" spans="1:10">
      <c r="A809" s="16" t="s">
        <v>206</v>
      </c>
      <c r="B809" s="19" t="s">
        <v>273</v>
      </c>
      <c r="C809" s="20" t="s">
        <v>69</v>
      </c>
      <c r="D809" s="20" t="s">
        <v>64</v>
      </c>
      <c r="E809" s="97" t="s">
        <v>470</v>
      </c>
      <c r="F809" s="97" t="s">
        <v>207</v>
      </c>
      <c r="G809" s="187">
        <f>600-270</f>
        <v>330</v>
      </c>
      <c r="H809" s="187">
        <v>325.3</v>
      </c>
      <c r="I809" s="187">
        <f t="shared" si="63"/>
        <v>4.6999999999999886</v>
      </c>
      <c r="J809" s="189">
        <f t="shared" si="64"/>
        <v>98.575757575757578</v>
      </c>
    </row>
    <row r="810" spans="1:10">
      <c r="A810" s="16" t="s">
        <v>174</v>
      </c>
      <c r="B810" s="19" t="s">
        <v>273</v>
      </c>
      <c r="C810" s="20" t="s">
        <v>69</v>
      </c>
      <c r="D810" s="20" t="s">
        <v>64</v>
      </c>
      <c r="E810" s="97" t="s">
        <v>471</v>
      </c>
      <c r="F810" s="97"/>
      <c r="G810" s="187">
        <f>G811</f>
        <v>1</v>
      </c>
      <c r="H810" s="187">
        <f>H811</f>
        <v>0.9</v>
      </c>
      <c r="I810" s="187">
        <f t="shared" si="63"/>
        <v>9.9999999999999978E-2</v>
      </c>
      <c r="J810" s="189">
        <f t="shared" si="64"/>
        <v>90</v>
      </c>
    </row>
    <row r="811" spans="1:10" ht="51">
      <c r="A811" s="16" t="s">
        <v>90</v>
      </c>
      <c r="B811" s="19" t="s">
        <v>273</v>
      </c>
      <c r="C811" s="20" t="s">
        <v>69</v>
      </c>
      <c r="D811" s="20" t="s">
        <v>64</v>
      </c>
      <c r="E811" s="97" t="s">
        <v>471</v>
      </c>
      <c r="F811" s="97" t="s">
        <v>91</v>
      </c>
      <c r="G811" s="187">
        <f>G812</f>
        <v>1</v>
      </c>
      <c r="H811" s="187">
        <f>H812</f>
        <v>0.9</v>
      </c>
      <c r="I811" s="187">
        <f t="shared" si="63"/>
        <v>9.9999999999999978E-2</v>
      </c>
      <c r="J811" s="189">
        <f t="shared" si="64"/>
        <v>90</v>
      </c>
    </row>
    <row r="812" spans="1:10">
      <c r="A812" s="16" t="s">
        <v>206</v>
      </c>
      <c r="B812" s="19" t="s">
        <v>273</v>
      </c>
      <c r="C812" s="20" t="s">
        <v>69</v>
      </c>
      <c r="D812" s="20" t="s">
        <v>64</v>
      </c>
      <c r="E812" s="97" t="s">
        <v>471</v>
      </c>
      <c r="F812" s="97" t="s">
        <v>207</v>
      </c>
      <c r="G812" s="187">
        <f>15-14</f>
        <v>1</v>
      </c>
      <c r="H812" s="187">
        <v>0.9</v>
      </c>
      <c r="I812" s="187">
        <f t="shared" si="63"/>
        <v>9.9999999999999978E-2</v>
      </c>
      <c r="J812" s="189">
        <f t="shared" si="64"/>
        <v>90</v>
      </c>
    </row>
    <row r="813" spans="1:10">
      <c r="A813" s="15" t="s">
        <v>58</v>
      </c>
      <c r="B813" s="35" t="s">
        <v>273</v>
      </c>
      <c r="C813" s="31" t="s">
        <v>67</v>
      </c>
      <c r="D813" s="31" t="s">
        <v>33</v>
      </c>
      <c r="E813" s="100"/>
      <c r="F813" s="100"/>
      <c r="G813" s="185">
        <f>G814</f>
        <v>67.7</v>
      </c>
      <c r="H813" s="185">
        <f>H814</f>
        <v>67.7</v>
      </c>
      <c r="I813" s="187">
        <f t="shared" si="63"/>
        <v>0</v>
      </c>
      <c r="J813" s="189">
        <f t="shared" si="64"/>
        <v>100</v>
      </c>
    </row>
    <row r="814" spans="1:10">
      <c r="A814" s="23" t="s">
        <v>57</v>
      </c>
      <c r="B814" s="35" t="s">
        <v>273</v>
      </c>
      <c r="C814" s="31" t="s">
        <v>67</v>
      </c>
      <c r="D814" s="31" t="s">
        <v>66</v>
      </c>
      <c r="E814" s="100"/>
      <c r="F814" s="100"/>
      <c r="G814" s="185">
        <f>G816</f>
        <v>67.7</v>
      </c>
      <c r="H814" s="185">
        <f>H816</f>
        <v>67.7</v>
      </c>
      <c r="I814" s="187">
        <f t="shared" si="63"/>
        <v>0</v>
      </c>
      <c r="J814" s="189">
        <f t="shared" si="64"/>
        <v>100</v>
      </c>
    </row>
    <row r="815" spans="1:10">
      <c r="A815" s="44" t="s">
        <v>430</v>
      </c>
      <c r="B815" s="19" t="s">
        <v>273</v>
      </c>
      <c r="C815" s="20" t="s">
        <v>67</v>
      </c>
      <c r="D815" s="20" t="s">
        <v>66</v>
      </c>
      <c r="E815" s="102" t="s">
        <v>431</v>
      </c>
      <c r="F815" s="97"/>
      <c r="G815" s="187">
        <f t="shared" ref="G815:H819" si="65">G816</f>
        <v>67.7</v>
      </c>
      <c r="H815" s="187">
        <f t="shared" si="65"/>
        <v>67.7</v>
      </c>
      <c r="I815" s="187">
        <f t="shared" si="63"/>
        <v>0</v>
      </c>
      <c r="J815" s="189">
        <f t="shared" si="64"/>
        <v>100</v>
      </c>
    </row>
    <row r="816" spans="1:10" ht="25.5">
      <c r="A816" s="28" t="str">
        <f>'МП пр.5'!A162</f>
        <v>Муниципальная программа "Обеспечение жильем молодых семей  в Сусуманском городском округе  на 2018- 2022 годы"</v>
      </c>
      <c r="B816" s="19" t="s">
        <v>273</v>
      </c>
      <c r="C816" s="20" t="s">
        <v>67</v>
      </c>
      <c r="D816" s="20" t="s">
        <v>66</v>
      </c>
      <c r="E816" s="102" t="str">
        <f>'МП пр.5'!B162</f>
        <v xml:space="preserve">7Ж 0 00 00000 </v>
      </c>
      <c r="F816" s="97"/>
      <c r="G816" s="187">
        <f t="shared" si="65"/>
        <v>67.7</v>
      </c>
      <c r="H816" s="187">
        <f t="shared" si="65"/>
        <v>67.7</v>
      </c>
      <c r="I816" s="187">
        <f t="shared" si="63"/>
        <v>0</v>
      </c>
      <c r="J816" s="189">
        <f t="shared" si="64"/>
        <v>100</v>
      </c>
    </row>
    <row r="817" spans="1:10" ht="25.5">
      <c r="A817" s="28" t="str">
        <f>'МП пр.5'!A163</f>
        <v>Основное мероприятие "Улучшение жилищных условий молодых семей"</v>
      </c>
      <c r="B817" s="19" t="s">
        <v>273</v>
      </c>
      <c r="C817" s="20" t="s">
        <v>67</v>
      </c>
      <c r="D817" s="20" t="s">
        <v>66</v>
      </c>
      <c r="E817" s="102" t="str">
        <f>'МП пр.5'!B163</f>
        <v xml:space="preserve">7Ж 0 01 00000 </v>
      </c>
      <c r="F817" s="97"/>
      <c r="G817" s="187">
        <f t="shared" si="65"/>
        <v>67.7</v>
      </c>
      <c r="H817" s="187">
        <f t="shared" si="65"/>
        <v>67.7</v>
      </c>
      <c r="I817" s="187">
        <f t="shared" si="63"/>
        <v>0</v>
      </c>
      <c r="J817" s="189">
        <f t="shared" si="64"/>
        <v>100</v>
      </c>
    </row>
    <row r="818" spans="1:10" ht="25.5">
      <c r="A818" s="28" t="str">
        <f>'МП пр.5'!A164</f>
        <v>Дополнительная социальная выплата молодым семьям при рождении (усыновлении) каждого ребенка</v>
      </c>
      <c r="B818" s="19" t="s">
        <v>273</v>
      </c>
      <c r="C818" s="20" t="s">
        <v>67</v>
      </c>
      <c r="D818" s="20" t="s">
        <v>66</v>
      </c>
      <c r="E818" s="102" t="str">
        <f>'МП пр.5'!B165</f>
        <v>7Ж 0 01 73070</v>
      </c>
      <c r="F818" s="97"/>
      <c r="G818" s="187">
        <f t="shared" si="65"/>
        <v>67.7</v>
      </c>
      <c r="H818" s="187">
        <f t="shared" si="65"/>
        <v>67.7</v>
      </c>
      <c r="I818" s="187">
        <f t="shared" si="63"/>
        <v>0</v>
      </c>
      <c r="J818" s="189">
        <f t="shared" si="64"/>
        <v>100</v>
      </c>
    </row>
    <row r="819" spans="1:10">
      <c r="A819" s="16" t="s">
        <v>99</v>
      </c>
      <c r="B819" s="19" t="s">
        <v>273</v>
      </c>
      <c r="C819" s="20" t="s">
        <v>67</v>
      </c>
      <c r="D819" s="20" t="s">
        <v>66</v>
      </c>
      <c r="E819" s="102" t="str">
        <f>'МП пр.5'!B166</f>
        <v>7Ж 0 01 73070</v>
      </c>
      <c r="F819" s="97" t="s">
        <v>100</v>
      </c>
      <c r="G819" s="187">
        <f t="shared" si="65"/>
        <v>67.7</v>
      </c>
      <c r="H819" s="187">
        <f t="shared" si="65"/>
        <v>67.7</v>
      </c>
      <c r="I819" s="187">
        <f t="shared" si="63"/>
        <v>0</v>
      </c>
      <c r="J819" s="189">
        <f t="shared" si="64"/>
        <v>100</v>
      </c>
    </row>
    <row r="820" spans="1:10" ht="25.5">
      <c r="A820" s="16" t="s">
        <v>114</v>
      </c>
      <c r="B820" s="19" t="s">
        <v>273</v>
      </c>
      <c r="C820" s="20" t="s">
        <v>67</v>
      </c>
      <c r="D820" s="20" t="s">
        <v>66</v>
      </c>
      <c r="E820" s="102" t="str">
        <f>'МП пр.5'!B167</f>
        <v>7Ж 0 01 73070</v>
      </c>
      <c r="F820" s="97" t="s">
        <v>113</v>
      </c>
      <c r="G820" s="187">
        <f>'МП пр.5'!G169</f>
        <v>67.7</v>
      </c>
      <c r="H820" s="187">
        <f>'МП пр.5'!H169</f>
        <v>67.7</v>
      </c>
      <c r="I820" s="187">
        <f t="shared" si="63"/>
        <v>0</v>
      </c>
      <c r="J820" s="189">
        <f t="shared" si="64"/>
        <v>100</v>
      </c>
    </row>
    <row r="821" spans="1:10">
      <c r="A821" s="15" t="s">
        <v>79</v>
      </c>
      <c r="B821" s="35" t="s">
        <v>273</v>
      </c>
      <c r="C821" s="31" t="s">
        <v>70</v>
      </c>
      <c r="D821" s="31" t="s">
        <v>33</v>
      </c>
      <c r="E821" s="97"/>
      <c r="F821" s="97"/>
      <c r="G821" s="185">
        <f>G822</f>
        <v>29991.300000000003</v>
      </c>
      <c r="H821" s="185">
        <f>H822</f>
        <v>29452.200000000004</v>
      </c>
      <c r="I821" s="187">
        <f t="shared" si="63"/>
        <v>539.09999999999854</v>
      </c>
      <c r="J821" s="189">
        <f t="shared" si="64"/>
        <v>98.202478718828473</v>
      </c>
    </row>
    <row r="822" spans="1:10">
      <c r="A822" s="15" t="s">
        <v>80</v>
      </c>
      <c r="B822" s="35" t="s">
        <v>273</v>
      </c>
      <c r="C822" s="31" t="s">
        <v>70</v>
      </c>
      <c r="D822" s="31" t="s">
        <v>62</v>
      </c>
      <c r="E822" s="100"/>
      <c r="F822" s="100"/>
      <c r="G822" s="185">
        <f>G823+G857+G867</f>
        <v>29991.300000000003</v>
      </c>
      <c r="H822" s="185">
        <f>H823+H857+H867</f>
        <v>29452.200000000004</v>
      </c>
      <c r="I822" s="187">
        <f t="shared" si="63"/>
        <v>539.09999999999854</v>
      </c>
      <c r="J822" s="189">
        <f t="shared" si="64"/>
        <v>98.202478718828473</v>
      </c>
    </row>
    <row r="823" spans="1:10">
      <c r="A823" s="44" t="s">
        <v>430</v>
      </c>
      <c r="B823" s="19" t="s">
        <v>273</v>
      </c>
      <c r="C823" s="20" t="s">
        <v>70</v>
      </c>
      <c r="D823" s="20" t="s">
        <v>62</v>
      </c>
      <c r="E823" s="102" t="s">
        <v>431</v>
      </c>
      <c r="F823" s="97"/>
      <c r="G823" s="187">
        <f>G824+G846+G841</f>
        <v>1843.6000000000001</v>
      </c>
      <c r="H823" s="187">
        <f>H824+H846+H841</f>
        <v>1774.4</v>
      </c>
      <c r="I823" s="187">
        <f t="shared" si="63"/>
        <v>69.200000000000045</v>
      </c>
      <c r="J823" s="189">
        <f t="shared" si="64"/>
        <v>96.246474289433721</v>
      </c>
    </row>
    <row r="824" spans="1:10" ht="25.5">
      <c r="A824" s="28" t="str">
        <f>'МП пр.5'!A257</f>
        <v>Муниципальная программа  "Пожарная безопасность в Сусуманском городском округе на 2018- 2022 годы"</v>
      </c>
      <c r="B824" s="19" t="s">
        <v>273</v>
      </c>
      <c r="C824" s="20" t="s">
        <v>70</v>
      </c>
      <c r="D824" s="20" t="s">
        <v>62</v>
      </c>
      <c r="E824" s="102" t="str">
        <f>'МП пр.5'!B257</f>
        <v xml:space="preserve">7П 0 00 00000 </v>
      </c>
      <c r="F824" s="97"/>
      <c r="G824" s="187">
        <f>G825</f>
        <v>305.7</v>
      </c>
      <c r="H824" s="187">
        <f>H825</f>
        <v>236.49999999999997</v>
      </c>
      <c r="I824" s="187">
        <f t="shared" si="63"/>
        <v>69.200000000000017</v>
      </c>
      <c r="J824" s="189">
        <f t="shared" si="64"/>
        <v>77.363428197579324</v>
      </c>
    </row>
    <row r="825" spans="1:10" ht="38.25">
      <c r="A825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25" s="19" t="s">
        <v>273</v>
      </c>
      <c r="C825" s="20" t="s">
        <v>70</v>
      </c>
      <c r="D825" s="20" t="s">
        <v>62</v>
      </c>
      <c r="E825" s="102" t="str">
        <f>'МП пр.5'!B258</f>
        <v xml:space="preserve">7П 0 01 00000 </v>
      </c>
      <c r="F825" s="97"/>
      <c r="G825" s="187">
        <f>G826+G829+G835+G838+G832</f>
        <v>305.7</v>
      </c>
      <c r="H825" s="187">
        <f>H826+H829+H835+H838+H832</f>
        <v>236.49999999999997</v>
      </c>
      <c r="I825" s="187">
        <f t="shared" si="63"/>
        <v>69.200000000000017</v>
      </c>
      <c r="J825" s="189">
        <f t="shared" si="64"/>
        <v>77.363428197579324</v>
      </c>
    </row>
    <row r="826" spans="1:10" ht="38.25">
      <c r="A826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6" s="19" t="s">
        <v>273</v>
      </c>
      <c r="C826" s="20" t="s">
        <v>70</v>
      </c>
      <c r="D826" s="20" t="s">
        <v>62</v>
      </c>
      <c r="E826" s="102" t="str">
        <f>'МП пр.5'!B259</f>
        <v xml:space="preserve">7П 0 01 94100 </v>
      </c>
      <c r="F826" s="97"/>
      <c r="G826" s="187">
        <f>G827</f>
        <v>180</v>
      </c>
      <c r="H826" s="187">
        <f>H827</f>
        <v>130.19999999999999</v>
      </c>
      <c r="I826" s="187">
        <f t="shared" si="63"/>
        <v>49.800000000000011</v>
      </c>
      <c r="J826" s="189">
        <f t="shared" si="64"/>
        <v>72.333333333333329</v>
      </c>
    </row>
    <row r="827" spans="1:10" ht="25.5">
      <c r="A827" s="16" t="s">
        <v>93</v>
      </c>
      <c r="B827" s="19" t="s">
        <v>273</v>
      </c>
      <c r="C827" s="20" t="s">
        <v>70</v>
      </c>
      <c r="D827" s="20" t="s">
        <v>62</v>
      </c>
      <c r="E827" s="102" t="s">
        <v>234</v>
      </c>
      <c r="F827" s="97" t="s">
        <v>94</v>
      </c>
      <c r="G827" s="187">
        <f>G828</f>
        <v>180</v>
      </c>
      <c r="H827" s="187">
        <f>H828</f>
        <v>130.19999999999999</v>
      </c>
      <c r="I827" s="187">
        <f t="shared" si="63"/>
        <v>49.800000000000011</v>
      </c>
      <c r="J827" s="189">
        <f t="shared" si="64"/>
        <v>72.333333333333329</v>
      </c>
    </row>
    <row r="828" spans="1:10">
      <c r="A828" s="16" t="s">
        <v>97</v>
      </c>
      <c r="B828" s="19" t="s">
        <v>273</v>
      </c>
      <c r="C828" s="20" t="s">
        <v>70</v>
      </c>
      <c r="D828" s="20" t="s">
        <v>62</v>
      </c>
      <c r="E828" s="102" t="s">
        <v>234</v>
      </c>
      <c r="F828" s="97" t="s">
        <v>98</v>
      </c>
      <c r="G828" s="187">
        <f>'МП пр.5'!G283</f>
        <v>180</v>
      </c>
      <c r="H828" s="187">
        <f>'МП пр.5'!H283</f>
        <v>130.19999999999999</v>
      </c>
      <c r="I828" s="187">
        <f t="shared" si="63"/>
        <v>49.800000000000011</v>
      </c>
      <c r="J828" s="189">
        <f t="shared" si="64"/>
        <v>72.333333333333329</v>
      </c>
    </row>
    <row r="829" spans="1:10" ht="25.5">
      <c r="A829" s="28" t="str">
        <f>'МП пр.5'!A299</f>
        <v>Приобретение и заправка огнетушителей, средств индивидуальной защиты</v>
      </c>
      <c r="B829" s="19" t="s">
        <v>273</v>
      </c>
      <c r="C829" s="20" t="s">
        <v>70</v>
      </c>
      <c r="D829" s="20" t="s">
        <v>62</v>
      </c>
      <c r="E829" s="102" t="str">
        <f>'МП пр.5'!B299</f>
        <v xml:space="preserve">7П 0 01 94300 </v>
      </c>
      <c r="F829" s="97"/>
      <c r="G829" s="187">
        <f>G830</f>
        <v>33.6</v>
      </c>
      <c r="H829" s="187">
        <f>H830</f>
        <v>21.6</v>
      </c>
      <c r="I829" s="187">
        <f t="shared" si="63"/>
        <v>12</v>
      </c>
      <c r="J829" s="189">
        <f t="shared" si="64"/>
        <v>64.285714285714292</v>
      </c>
    </row>
    <row r="830" spans="1:10" ht="25.5">
      <c r="A830" s="16" t="s">
        <v>93</v>
      </c>
      <c r="B830" s="19" t="s">
        <v>273</v>
      </c>
      <c r="C830" s="20" t="s">
        <v>70</v>
      </c>
      <c r="D830" s="20" t="s">
        <v>62</v>
      </c>
      <c r="E830" s="102" t="s">
        <v>247</v>
      </c>
      <c r="F830" s="97" t="s">
        <v>94</v>
      </c>
      <c r="G830" s="187">
        <f>G831</f>
        <v>33.6</v>
      </c>
      <c r="H830" s="187">
        <f>H831</f>
        <v>21.6</v>
      </c>
      <c r="I830" s="187">
        <f t="shared" si="63"/>
        <v>12</v>
      </c>
      <c r="J830" s="189">
        <f t="shared" si="64"/>
        <v>64.285714285714292</v>
      </c>
    </row>
    <row r="831" spans="1:10">
      <c r="A831" s="16" t="s">
        <v>97</v>
      </c>
      <c r="B831" s="19" t="s">
        <v>273</v>
      </c>
      <c r="C831" s="20" t="s">
        <v>70</v>
      </c>
      <c r="D831" s="20" t="s">
        <v>62</v>
      </c>
      <c r="E831" s="102" t="s">
        <v>247</v>
      </c>
      <c r="F831" s="97" t="s">
        <v>98</v>
      </c>
      <c r="G831" s="187">
        <f>'МП пр.5'!G318</f>
        <v>33.6</v>
      </c>
      <c r="H831" s="187">
        <f>'МП пр.5'!H318</f>
        <v>21.6</v>
      </c>
      <c r="I831" s="187">
        <f t="shared" si="63"/>
        <v>12</v>
      </c>
      <c r="J831" s="189">
        <f t="shared" si="64"/>
        <v>64.285714285714292</v>
      </c>
    </row>
    <row r="832" spans="1:10" ht="25.5">
      <c r="A832" s="16" t="str">
        <f>'МП пр.5'!A319</f>
        <v>Проведение замеров сопротивления изоляции электросетей и электрооборудования</v>
      </c>
      <c r="B832" s="19" t="s">
        <v>273</v>
      </c>
      <c r="C832" s="20" t="s">
        <v>70</v>
      </c>
      <c r="D832" s="20" t="s">
        <v>62</v>
      </c>
      <c r="E832" s="102" t="str">
        <f>'МП пр.5'!B333</f>
        <v xml:space="preserve">7П 0 01 94400 </v>
      </c>
      <c r="F832" s="97"/>
      <c r="G832" s="187">
        <f>G833</f>
        <v>50</v>
      </c>
      <c r="H832" s="187">
        <f>H833</f>
        <v>50</v>
      </c>
      <c r="I832" s="187">
        <f t="shared" si="63"/>
        <v>0</v>
      </c>
      <c r="J832" s="189">
        <f t="shared" si="64"/>
        <v>100</v>
      </c>
    </row>
    <row r="833" spans="1:10" ht="25.5">
      <c r="A833" s="16" t="str">
        <f>'МП пр.5'!A335</f>
        <v>Предоставление субсидий бюджетным, автономным учреждениям и иным некоммерческим организациям</v>
      </c>
      <c r="B833" s="19" t="s">
        <v>273</v>
      </c>
      <c r="C833" s="20" t="s">
        <v>70</v>
      </c>
      <c r="D833" s="20" t="s">
        <v>62</v>
      </c>
      <c r="E833" s="102" t="str">
        <f>'МП пр.5'!B334</f>
        <v xml:space="preserve">7П 0 01 94400 </v>
      </c>
      <c r="F833" s="121">
        <v>600</v>
      </c>
      <c r="G833" s="187">
        <f>G834</f>
        <v>50</v>
      </c>
      <c r="H833" s="187">
        <f>H834</f>
        <v>50</v>
      </c>
      <c r="I833" s="187">
        <f t="shared" si="63"/>
        <v>0</v>
      </c>
      <c r="J833" s="189">
        <f t="shared" si="64"/>
        <v>100</v>
      </c>
    </row>
    <row r="834" spans="1:10">
      <c r="A834" s="16" t="str">
        <f>'МП пр.5'!A336</f>
        <v>Субсидии бюджетным учреждениям</v>
      </c>
      <c r="B834" s="19" t="s">
        <v>273</v>
      </c>
      <c r="C834" s="20" t="s">
        <v>70</v>
      </c>
      <c r="D834" s="20" t="s">
        <v>62</v>
      </c>
      <c r="E834" s="102" t="str">
        <f>'МП пр.5'!B335</f>
        <v xml:space="preserve">7П 0 01 94400 </v>
      </c>
      <c r="F834" s="121">
        <v>610</v>
      </c>
      <c r="G834" s="187">
        <f>'МП пр.5'!G337</f>
        <v>50</v>
      </c>
      <c r="H834" s="187">
        <f>'МП пр.5'!H337</f>
        <v>50</v>
      </c>
      <c r="I834" s="187">
        <f t="shared" si="63"/>
        <v>0</v>
      </c>
      <c r="J834" s="189">
        <f t="shared" si="64"/>
        <v>100</v>
      </c>
    </row>
    <row r="835" spans="1:10" ht="38.25">
      <c r="A835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835" s="19" t="s">
        <v>273</v>
      </c>
      <c r="C835" s="20" t="s">
        <v>70</v>
      </c>
      <c r="D835" s="20" t="s">
        <v>62</v>
      </c>
      <c r="E835" s="102" t="str">
        <f>'МП пр.5'!B338</f>
        <v xml:space="preserve">7П 0 01 94500 </v>
      </c>
      <c r="F835" s="97"/>
      <c r="G835" s="187">
        <f>G836</f>
        <v>21.099999999999994</v>
      </c>
      <c r="H835" s="187">
        <f>H836</f>
        <v>21.1</v>
      </c>
      <c r="I835" s="187">
        <f t="shared" si="63"/>
        <v>0</v>
      </c>
      <c r="J835" s="189">
        <f t="shared" si="64"/>
        <v>100.00000000000004</v>
      </c>
    </row>
    <row r="836" spans="1:10" ht="25.5">
      <c r="A836" s="16" t="s">
        <v>93</v>
      </c>
      <c r="B836" s="19" t="s">
        <v>273</v>
      </c>
      <c r="C836" s="20" t="s">
        <v>70</v>
      </c>
      <c r="D836" s="20" t="s">
        <v>62</v>
      </c>
      <c r="E836" s="102" t="s">
        <v>236</v>
      </c>
      <c r="F836" s="97" t="s">
        <v>94</v>
      </c>
      <c r="G836" s="187">
        <f>G837</f>
        <v>21.099999999999994</v>
      </c>
      <c r="H836" s="187">
        <f>H837</f>
        <v>21.1</v>
      </c>
      <c r="I836" s="187">
        <f t="shared" si="63"/>
        <v>0</v>
      </c>
      <c r="J836" s="189">
        <f t="shared" si="64"/>
        <v>100.00000000000004</v>
      </c>
    </row>
    <row r="837" spans="1:10">
      <c r="A837" s="16" t="s">
        <v>97</v>
      </c>
      <c r="B837" s="19" t="s">
        <v>273</v>
      </c>
      <c r="C837" s="20" t="s">
        <v>70</v>
      </c>
      <c r="D837" s="20" t="s">
        <v>62</v>
      </c>
      <c r="E837" s="102" t="s">
        <v>236</v>
      </c>
      <c r="F837" s="97" t="s">
        <v>98</v>
      </c>
      <c r="G837" s="187">
        <f>'МП пр.5'!G361</f>
        <v>21.099999999999994</v>
      </c>
      <c r="H837" s="187">
        <f>'МП пр.5'!H361</f>
        <v>21.1</v>
      </c>
      <c r="I837" s="187">
        <f t="shared" si="63"/>
        <v>0</v>
      </c>
      <c r="J837" s="189">
        <f t="shared" si="64"/>
        <v>100.00000000000004</v>
      </c>
    </row>
    <row r="838" spans="1:10">
      <c r="A838" s="28" t="str">
        <f>'МП пр.5'!A378</f>
        <v>Изготовление планов эвакуации</v>
      </c>
      <c r="B838" s="19" t="s">
        <v>273</v>
      </c>
      <c r="C838" s="20" t="s">
        <v>70</v>
      </c>
      <c r="D838" s="20" t="s">
        <v>62</v>
      </c>
      <c r="E838" s="102" t="str">
        <f>'МП пр.5'!B378</f>
        <v xml:space="preserve">7П 0 01 94700 </v>
      </c>
      <c r="F838" s="97"/>
      <c r="G838" s="187">
        <f>G839</f>
        <v>21</v>
      </c>
      <c r="H838" s="187">
        <f>H839</f>
        <v>13.6</v>
      </c>
      <c r="I838" s="187">
        <f t="shared" si="63"/>
        <v>7.4</v>
      </c>
      <c r="J838" s="189">
        <f t="shared" si="64"/>
        <v>64.761904761904759</v>
      </c>
    </row>
    <row r="839" spans="1:10" ht="25.5">
      <c r="A839" s="16" t="s">
        <v>93</v>
      </c>
      <c r="B839" s="19" t="s">
        <v>273</v>
      </c>
      <c r="C839" s="20" t="s">
        <v>70</v>
      </c>
      <c r="D839" s="20" t="s">
        <v>62</v>
      </c>
      <c r="E839" s="102" t="s">
        <v>373</v>
      </c>
      <c r="F839" s="97" t="s">
        <v>94</v>
      </c>
      <c r="G839" s="187">
        <f>G840</f>
        <v>21</v>
      </c>
      <c r="H839" s="187">
        <f>H840</f>
        <v>13.6</v>
      </c>
      <c r="I839" s="187">
        <f t="shared" si="63"/>
        <v>7.4</v>
      </c>
      <c r="J839" s="189">
        <f t="shared" si="64"/>
        <v>64.761904761904759</v>
      </c>
    </row>
    <row r="840" spans="1:10">
      <c r="A840" s="16" t="s">
        <v>97</v>
      </c>
      <c r="B840" s="19" t="s">
        <v>273</v>
      </c>
      <c r="C840" s="20" t="s">
        <v>70</v>
      </c>
      <c r="D840" s="20" t="s">
        <v>62</v>
      </c>
      <c r="E840" s="102" t="s">
        <v>373</v>
      </c>
      <c r="F840" s="97" t="s">
        <v>98</v>
      </c>
      <c r="G840" s="187">
        <f>'МП пр.5'!G383</f>
        <v>21</v>
      </c>
      <c r="H840" s="187">
        <f>'МП пр.5'!H383</f>
        <v>13.6</v>
      </c>
      <c r="I840" s="187">
        <f t="shared" si="63"/>
        <v>7.4</v>
      </c>
      <c r="J840" s="189">
        <f t="shared" si="64"/>
        <v>64.761904761904759</v>
      </c>
    </row>
    <row r="841" spans="1:10" ht="38.25">
      <c r="A841" s="118" t="s">
        <v>385</v>
      </c>
      <c r="B841" s="113" t="s">
        <v>273</v>
      </c>
      <c r="C841" s="110" t="s">
        <v>70</v>
      </c>
      <c r="D841" s="110" t="s">
        <v>62</v>
      </c>
      <c r="E841" s="113" t="s">
        <v>154</v>
      </c>
      <c r="F841" s="110"/>
      <c r="G841" s="187">
        <f t="shared" ref="G841:H844" si="66">G842</f>
        <v>300</v>
      </c>
      <c r="H841" s="187">
        <f t="shared" si="66"/>
        <v>300</v>
      </c>
      <c r="I841" s="187">
        <f t="shared" si="63"/>
        <v>0</v>
      </c>
      <c r="J841" s="189">
        <f t="shared" si="64"/>
        <v>100</v>
      </c>
    </row>
    <row r="842" spans="1:10" ht="25.5">
      <c r="A842" s="118" t="s">
        <v>191</v>
      </c>
      <c r="B842" s="113" t="s">
        <v>273</v>
      </c>
      <c r="C842" s="110" t="s">
        <v>70</v>
      </c>
      <c r="D842" s="110" t="s">
        <v>62</v>
      </c>
      <c r="E842" s="113" t="s">
        <v>309</v>
      </c>
      <c r="F842" s="110"/>
      <c r="G842" s="187">
        <f t="shared" si="66"/>
        <v>300</v>
      </c>
      <c r="H842" s="187">
        <f t="shared" si="66"/>
        <v>300</v>
      </c>
      <c r="I842" s="187">
        <f t="shared" si="63"/>
        <v>0</v>
      </c>
      <c r="J842" s="189">
        <f t="shared" si="64"/>
        <v>100</v>
      </c>
    </row>
    <row r="843" spans="1:10">
      <c r="A843" s="118" t="s">
        <v>163</v>
      </c>
      <c r="B843" s="113" t="s">
        <v>273</v>
      </c>
      <c r="C843" s="110" t="s">
        <v>70</v>
      </c>
      <c r="D843" s="110" t="s">
        <v>62</v>
      </c>
      <c r="E843" s="113" t="s">
        <v>310</v>
      </c>
      <c r="F843" s="110"/>
      <c r="G843" s="187">
        <f t="shared" si="66"/>
        <v>300</v>
      </c>
      <c r="H843" s="187">
        <f t="shared" si="66"/>
        <v>300</v>
      </c>
      <c r="I843" s="187">
        <f t="shared" si="63"/>
        <v>0</v>
      </c>
      <c r="J843" s="189">
        <f t="shared" si="64"/>
        <v>100</v>
      </c>
    </row>
    <row r="844" spans="1:10" ht="25.5">
      <c r="A844" s="109" t="s">
        <v>93</v>
      </c>
      <c r="B844" s="113" t="s">
        <v>273</v>
      </c>
      <c r="C844" s="110" t="s">
        <v>70</v>
      </c>
      <c r="D844" s="110" t="s">
        <v>62</v>
      </c>
      <c r="E844" s="113" t="s">
        <v>310</v>
      </c>
      <c r="F844" s="110" t="s">
        <v>94</v>
      </c>
      <c r="G844" s="187">
        <f t="shared" si="66"/>
        <v>300</v>
      </c>
      <c r="H844" s="187">
        <f t="shared" si="66"/>
        <v>300</v>
      </c>
      <c r="I844" s="187">
        <f t="shared" si="63"/>
        <v>0</v>
      </c>
      <c r="J844" s="189">
        <f t="shared" si="64"/>
        <v>100</v>
      </c>
    </row>
    <row r="845" spans="1:10">
      <c r="A845" s="109" t="s">
        <v>97</v>
      </c>
      <c r="B845" s="113" t="s">
        <v>273</v>
      </c>
      <c r="C845" s="110" t="s">
        <v>70</v>
      </c>
      <c r="D845" s="110" t="s">
        <v>62</v>
      </c>
      <c r="E845" s="113" t="s">
        <v>310</v>
      </c>
      <c r="F845" s="110" t="s">
        <v>98</v>
      </c>
      <c r="G845" s="187">
        <f>'МП пр.5'!G548</f>
        <v>300</v>
      </c>
      <c r="H845" s="187">
        <f>'МП пр.5'!H548</f>
        <v>300</v>
      </c>
      <c r="I845" s="187">
        <f t="shared" si="63"/>
        <v>0</v>
      </c>
      <c r="J845" s="189">
        <f t="shared" si="64"/>
        <v>100</v>
      </c>
    </row>
    <row r="846" spans="1:10" ht="25.5">
      <c r="A846" s="28" t="str">
        <f>'МП пр.5'!A556</f>
        <v>Муниципальная программа "Развитие физической культуры и спорта в Сусуманском городском округе на 2018- 2022 годы"</v>
      </c>
      <c r="B846" s="19" t="s">
        <v>273</v>
      </c>
      <c r="C846" s="20" t="s">
        <v>70</v>
      </c>
      <c r="D846" s="20" t="s">
        <v>62</v>
      </c>
      <c r="E846" s="102" t="str">
        <f>'МП пр.5'!B556</f>
        <v xml:space="preserve">7Ф 0 00 00000 </v>
      </c>
      <c r="F846" s="97"/>
      <c r="G846" s="187">
        <f>G847</f>
        <v>1237.9000000000001</v>
      </c>
      <c r="H846" s="187">
        <f>H847</f>
        <v>1237.9000000000001</v>
      </c>
      <c r="I846" s="187">
        <f t="shared" si="63"/>
        <v>0</v>
      </c>
      <c r="J846" s="189">
        <f t="shared" si="64"/>
        <v>100</v>
      </c>
    </row>
    <row r="847" spans="1:10" ht="38.25">
      <c r="A847" s="28" t="str">
        <f>'МП пр.5'!A557</f>
        <v>Основное мероприятие "Приобщение различных слоев населения к регулярным занятиям физической культурой и спортом"</v>
      </c>
      <c r="B847" s="19" t="s">
        <v>273</v>
      </c>
      <c r="C847" s="20" t="s">
        <v>70</v>
      </c>
      <c r="D847" s="20" t="s">
        <v>62</v>
      </c>
      <c r="E847" s="102" t="str">
        <f>'МП пр.5'!B557</f>
        <v xml:space="preserve">7Ф 0 01 00000 </v>
      </c>
      <c r="F847" s="97"/>
      <c r="G847" s="187">
        <f>G851+G854+G848</f>
        <v>1237.9000000000001</v>
      </c>
      <c r="H847" s="187">
        <f>H851+H854+H848</f>
        <v>1237.9000000000001</v>
      </c>
      <c r="I847" s="187">
        <f t="shared" ref="I847:I910" si="67">G847-H847</f>
        <v>0</v>
      </c>
      <c r="J847" s="189">
        <f t="shared" ref="J847:J910" si="68">H847/G847*100</f>
        <v>100</v>
      </c>
    </row>
    <row r="848" spans="1:10" ht="37.9" customHeight="1">
      <c r="A848" s="28" t="str">
        <f>'МП пр.5'!A558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48" s="19" t="s">
        <v>273</v>
      </c>
      <c r="C848" s="20" t="s">
        <v>70</v>
      </c>
      <c r="D848" s="20" t="s">
        <v>62</v>
      </c>
      <c r="E848" s="102" t="str">
        <f>'МП пр.5'!B559</f>
        <v xml:space="preserve">7Ф 0 01 75010 </v>
      </c>
      <c r="F848" s="97"/>
      <c r="G848" s="187">
        <f>G849</f>
        <v>87.9</v>
      </c>
      <c r="H848" s="187">
        <f>H849</f>
        <v>87.9</v>
      </c>
      <c r="I848" s="187">
        <f t="shared" si="67"/>
        <v>0</v>
      </c>
      <c r="J848" s="189">
        <f t="shared" si="68"/>
        <v>100</v>
      </c>
    </row>
    <row r="849" spans="1:10" ht="25.5">
      <c r="A849" s="16" t="s">
        <v>93</v>
      </c>
      <c r="B849" s="19" t="s">
        <v>273</v>
      </c>
      <c r="C849" s="20" t="s">
        <v>70</v>
      </c>
      <c r="D849" s="20" t="s">
        <v>62</v>
      </c>
      <c r="E849" s="102" t="str">
        <f>'МП пр.5'!B560</f>
        <v xml:space="preserve">7Ф 0 01 75010 </v>
      </c>
      <c r="F849" s="97" t="s">
        <v>94</v>
      </c>
      <c r="G849" s="187">
        <f>G850</f>
        <v>87.9</v>
      </c>
      <c r="H849" s="187">
        <f>H850</f>
        <v>87.9</v>
      </c>
      <c r="I849" s="187">
        <f t="shared" si="67"/>
        <v>0</v>
      </c>
      <c r="J849" s="189">
        <f t="shared" si="68"/>
        <v>100</v>
      </c>
    </row>
    <row r="850" spans="1:10">
      <c r="A850" s="16" t="s">
        <v>97</v>
      </c>
      <c r="B850" s="19" t="s">
        <v>273</v>
      </c>
      <c r="C850" s="20" t="s">
        <v>70</v>
      </c>
      <c r="D850" s="20" t="s">
        <v>62</v>
      </c>
      <c r="E850" s="102" t="str">
        <f>'МП пр.5'!B561</f>
        <v xml:space="preserve">7Ф 0 01 75010 </v>
      </c>
      <c r="F850" s="97" t="s">
        <v>98</v>
      </c>
      <c r="G850" s="187">
        <f>'МП пр.5'!G563</f>
        <v>87.9</v>
      </c>
      <c r="H850" s="187">
        <f>'МП пр.5'!H563</f>
        <v>87.9</v>
      </c>
      <c r="I850" s="187">
        <f t="shared" si="67"/>
        <v>0</v>
      </c>
      <c r="J850" s="189">
        <f t="shared" si="68"/>
        <v>100</v>
      </c>
    </row>
    <row r="851" spans="1:10">
      <c r="A851" s="28" t="str">
        <f>'МП пр.5'!A564</f>
        <v>Укрепление материально- технической базы</v>
      </c>
      <c r="B851" s="19" t="s">
        <v>273</v>
      </c>
      <c r="C851" s="20" t="s">
        <v>70</v>
      </c>
      <c r="D851" s="20" t="s">
        <v>62</v>
      </c>
      <c r="E851" s="102" t="str">
        <f>'МП пр.5'!B564</f>
        <v xml:space="preserve">7Ф 0 01 92500 </v>
      </c>
      <c r="F851" s="97"/>
      <c r="G851" s="187">
        <f>G852</f>
        <v>300</v>
      </c>
      <c r="H851" s="187">
        <f>H852</f>
        <v>300</v>
      </c>
      <c r="I851" s="187">
        <f t="shared" si="67"/>
        <v>0</v>
      </c>
      <c r="J851" s="189">
        <f t="shared" si="68"/>
        <v>100</v>
      </c>
    </row>
    <row r="852" spans="1:10" ht="25.5">
      <c r="A852" s="16" t="s">
        <v>93</v>
      </c>
      <c r="B852" s="19" t="s">
        <v>273</v>
      </c>
      <c r="C852" s="20" t="s">
        <v>70</v>
      </c>
      <c r="D852" s="20" t="s">
        <v>62</v>
      </c>
      <c r="E852" s="102" t="s">
        <v>258</v>
      </c>
      <c r="F852" s="97" t="s">
        <v>94</v>
      </c>
      <c r="G852" s="187">
        <f>G853</f>
        <v>300</v>
      </c>
      <c r="H852" s="187">
        <f>H853</f>
        <v>300</v>
      </c>
      <c r="I852" s="187">
        <f t="shared" si="67"/>
        <v>0</v>
      </c>
      <c r="J852" s="189">
        <f t="shared" si="68"/>
        <v>100</v>
      </c>
    </row>
    <row r="853" spans="1:10">
      <c r="A853" s="16" t="s">
        <v>97</v>
      </c>
      <c r="B853" s="19" t="s">
        <v>273</v>
      </c>
      <c r="C853" s="20" t="s">
        <v>70</v>
      </c>
      <c r="D853" s="20" t="s">
        <v>62</v>
      </c>
      <c r="E853" s="102" t="s">
        <v>258</v>
      </c>
      <c r="F853" s="97" t="s">
        <v>98</v>
      </c>
      <c r="G853" s="187">
        <f>'МП пр.5'!G569</f>
        <v>300</v>
      </c>
      <c r="H853" s="187">
        <f>'МП пр.5'!H569</f>
        <v>300</v>
      </c>
      <c r="I853" s="187">
        <f t="shared" si="67"/>
        <v>0</v>
      </c>
      <c r="J853" s="189">
        <f t="shared" si="68"/>
        <v>100</v>
      </c>
    </row>
    <row r="854" spans="1:10" ht="25.5">
      <c r="A854" s="28" t="str">
        <f>'МП пр.5'!A570</f>
        <v>Оздоровительная, спортивно- массовая работа с населением, проведение мероприятий</v>
      </c>
      <c r="B854" s="19" t="s">
        <v>273</v>
      </c>
      <c r="C854" s="20" t="s">
        <v>70</v>
      </c>
      <c r="D854" s="20" t="s">
        <v>62</v>
      </c>
      <c r="E854" s="102" t="str">
        <f>'МП пр.5'!B570</f>
        <v xml:space="preserve">7Ф 0 01 93100 </v>
      </c>
      <c r="F854" s="97"/>
      <c r="G854" s="187">
        <f>G855</f>
        <v>850</v>
      </c>
      <c r="H854" s="187">
        <f>H855</f>
        <v>850</v>
      </c>
      <c r="I854" s="187">
        <f t="shared" si="67"/>
        <v>0</v>
      </c>
      <c r="J854" s="189">
        <f t="shared" si="68"/>
        <v>100</v>
      </c>
    </row>
    <row r="855" spans="1:10" ht="25.5">
      <c r="A855" s="16" t="s">
        <v>93</v>
      </c>
      <c r="B855" s="19" t="s">
        <v>273</v>
      </c>
      <c r="C855" s="20" t="s">
        <v>70</v>
      </c>
      <c r="D855" s="20" t="s">
        <v>62</v>
      </c>
      <c r="E855" s="102" t="s">
        <v>257</v>
      </c>
      <c r="F855" s="97" t="s">
        <v>94</v>
      </c>
      <c r="G855" s="187">
        <f>G856</f>
        <v>850</v>
      </c>
      <c r="H855" s="187">
        <f>H856</f>
        <v>850</v>
      </c>
      <c r="I855" s="187">
        <f t="shared" si="67"/>
        <v>0</v>
      </c>
      <c r="J855" s="189">
        <f t="shared" si="68"/>
        <v>100</v>
      </c>
    </row>
    <row r="856" spans="1:10">
      <c r="A856" s="16" t="s">
        <v>97</v>
      </c>
      <c r="B856" s="19" t="s">
        <v>273</v>
      </c>
      <c r="C856" s="20" t="s">
        <v>70</v>
      </c>
      <c r="D856" s="20" t="s">
        <v>62</v>
      </c>
      <c r="E856" s="102" t="s">
        <v>257</v>
      </c>
      <c r="F856" s="97" t="s">
        <v>98</v>
      </c>
      <c r="G856" s="187">
        <f>'МП пр.5'!G575</f>
        <v>850</v>
      </c>
      <c r="H856" s="187">
        <f>'МП пр.5'!H575</f>
        <v>850</v>
      </c>
      <c r="I856" s="187">
        <f t="shared" si="67"/>
        <v>0</v>
      </c>
      <c r="J856" s="189">
        <f t="shared" si="68"/>
        <v>100</v>
      </c>
    </row>
    <row r="857" spans="1:10" ht="25.5">
      <c r="A857" s="16" t="s">
        <v>492</v>
      </c>
      <c r="B857" s="19" t="s">
        <v>273</v>
      </c>
      <c r="C857" s="20" t="s">
        <v>70</v>
      </c>
      <c r="D857" s="20" t="s">
        <v>62</v>
      </c>
      <c r="E857" s="97" t="s">
        <v>493</v>
      </c>
      <c r="F857" s="97"/>
      <c r="G857" s="187">
        <f>G858+G861+G864</f>
        <v>27628.300000000003</v>
      </c>
      <c r="H857" s="187">
        <f>H858+H861+H864</f>
        <v>27161.9</v>
      </c>
      <c r="I857" s="187">
        <f t="shared" si="67"/>
        <v>466.40000000000146</v>
      </c>
      <c r="J857" s="189">
        <f t="shared" si="68"/>
        <v>98.311875866412336</v>
      </c>
    </row>
    <row r="858" spans="1:10" ht="25.5">
      <c r="A858" s="16" t="s">
        <v>183</v>
      </c>
      <c r="B858" s="19" t="s">
        <v>273</v>
      </c>
      <c r="C858" s="20" t="s">
        <v>70</v>
      </c>
      <c r="D858" s="20" t="s">
        <v>62</v>
      </c>
      <c r="E858" s="97" t="s">
        <v>494</v>
      </c>
      <c r="F858" s="97"/>
      <c r="G858" s="187">
        <f>G859</f>
        <v>27456.600000000002</v>
      </c>
      <c r="H858" s="187">
        <f>H859</f>
        <v>26991.9</v>
      </c>
      <c r="I858" s="187">
        <f t="shared" si="67"/>
        <v>464.70000000000073</v>
      </c>
      <c r="J858" s="189">
        <f t="shared" si="68"/>
        <v>98.307510762439634</v>
      </c>
    </row>
    <row r="859" spans="1:10" ht="25.5">
      <c r="A859" s="16" t="s">
        <v>93</v>
      </c>
      <c r="B859" s="19" t="s">
        <v>273</v>
      </c>
      <c r="C859" s="20" t="s">
        <v>70</v>
      </c>
      <c r="D859" s="20" t="s">
        <v>62</v>
      </c>
      <c r="E859" s="97" t="s">
        <v>494</v>
      </c>
      <c r="F859" s="97" t="s">
        <v>94</v>
      </c>
      <c r="G859" s="187">
        <f>G860</f>
        <v>27456.600000000002</v>
      </c>
      <c r="H859" s="187">
        <f>H860</f>
        <v>26991.9</v>
      </c>
      <c r="I859" s="187">
        <f t="shared" si="67"/>
        <v>464.70000000000073</v>
      </c>
      <c r="J859" s="189">
        <f t="shared" si="68"/>
        <v>98.307510762439634</v>
      </c>
    </row>
    <row r="860" spans="1:10">
      <c r="A860" s="16" t="s">
        <v>97</v>
      </c>
      <c r="B860" s="19" t="s">
        <v>273</v>
      </c>
      <c r="C860" s="20" t="s">
        <v>70</v>
      </c>
      <c r="D860" s="20" t="s">
        <v>62</v>
      </c>
      <c r="E860" s="97" t="s">
        <v>494</v>
      </c>
      <c r="F860" s="97" t="s">
        <v>98</v>
      </c>
      <c r="G860" s="187">
        <f>26538.4+918.2</f>
        <v>27456.600000000002</v>
      </c>
      <c r="H860" s="187">
        <v>26991.9</v>
      </c>
      <c r="I860" s="187">
        <f t="shared" si="67"/>
        <v>464.70000000000073</v>
      </c>
      <c r="J860" s="189">
        <f t="shared" si="68"/>
        <v>98.307510762439634</v>
      </c>
    </row>
    <row r="861" spans="1:10" ht="63.75">
      <c r="A861" s="16" t="s">
        <v>202</v>
      </c>
      <c r="B861" s="19" t="s">
        <v>273</v>
      </c>
      <c r="C861" s="20" t="s">
        <v>70</v>
      </c>
      <c r="D861" s="20" t="s">
        <v>62</v>
      </c>
      <c r="E861" s="97" t="s">
        <v>495</v>
      </c>
      <c r="F861" s="97"/>
      <c r="G861" s="187">
        <f>G862</f>
        <v>159.69999999999999</v>
      </c>
      <c r="H861" s="187">
        <f>H862</f>
        <v>159.69999999999999</v>
      </c>
      <c r="I861" s="187">
        <f t="shared" si="67"/>
        <v>0</v>
      </c>
      <c r="J861" s="189">
        <f t="shared" si="68"/>
        <v>100</v>
      </c>
    </row>
    <row r="862" spans="1:10" ht="25.5">
      <c r="A862" s="16" t="s">
        <v>93</v>
      </c>
      <c r="B862" s="19" t="s">
        <v>273</v>
      </c>
      <c r="C862" s="20" t="s">
        <v>70</v>
      </c>
      <c r="D862" s="20" t="s">
        <v>62</v>
      </c>
      <c r="E862" s="97" t="s">
        <v>495</v>
      </c>
      <c r="F862" s="97" t="s">
        <v>94</v>
      </c>
      <c r="G862" s="187">
        <f>G863</f>
        <v>159.69999999999999</v>
      </c>
      <c r="H862" s="187">
        <f>H863</f>
        <v>159.69999999999999</v>
      </c>
      <c r="I862" s="187">
        <f t="shared" si="67"/>
        <v>0</v>
      </c>
      <c r="J862" s="189">
        <f t="shared" si="68"/>
        <v>100</v>
      </c>
    </row>
    <row r="863" spans="1:10">
      <c r="A863" s="16" t="s">
        <v>97</v>
      </c>
      <c r="B863" s="19" t="s">
        <v>273</v>
      </c>
      <c r="C863" s="20" t="s">
        <v>70</v>
      </c>
      <c r="D863" s="20" t="s">
        <v>62</v>
      </c>
      <c r="E863" s="97" t="s">
        <v>495</v>
      </c>
      <c r="F863" s="97" t="s">
        <v>98</v>
      </c>
      <c r="G863" s="187">
        <f>275-115.3</f>
        <v>159.69999999999999</v>
      </c>
      <c r="H863" s="187">
        <v>159.69999999999999</v>
      </c>
      <c r="I863" s="187">
        <f t="shared" si="67"/>
        <v>0</v>
      </c>
      <c r="J863" s="189">
        <f t="shared" si="68"/>
        <v>100</v>
      </c>
    </row>
    <row r="864" spans="1:10">
      <c r="A864" s="16" t="s">
        <v>174</v>
      </c>
      <c r="B864" s="19" t="s">
        <v>273</v>
      </c>
      <c r="C864" s="20" t="s">
        <v>70</v>
      </c>
      <c r="D864" s="20" t="s">
        <v>62</v>
      </c>
      <c r="E864" s="97" t="s">
        <v>496</v>
      </c>
      <c r="F864" s="97"/>
      <c r="G864" s="187">
        <f>G865</f>
        <v>12</v>
      </c>
      <c r="H864" s="187">
        <f>H865</f>
        <v>10.3</v>
      </c>
      <c r="I864" s="187">
        <f t="shared" si="67"/>
        <v>1.6999999999999993</v>
      </c>
      <c r="J864" s="189">
        <f t="shared" si="68"/>
        <v>85.833333333333343</v>
      </c>
    </row>
    <row r="865" spans="1:13" ht="25.5">
      <c r="A865" s="16" t="s">
        <v>93</v>
      </c>
      <c r="B865" s="19" t="s">
        <v>273</v>
      </c>
      <c r="C865" s="20" t="s">
        <v>70</v>
      </c>
      <c r="D865" s="20" t="s">
        <v>62</v>
      </c>
      <c r="E865" s="97" t="s">
        <v>496</v>
      </c>
      <c r="F865" s="97" t="s">
        <v>94</v>
      </c>
      <c r="G865" s="187">
        <f>G866</f>
        <v>12</v>
      </c>
      <c r="H865" s="187">
        <f>H866</f>
        <v>10.3</v>
      </c>
      <c r="I865" s="187">
        <f t="shared" si="67"/>
        <v>1.6999999999999993</v>
      </c>
      <c r="J865" s="189">
        <f t="shared" si="68"/>
        <v>85.833333333333343</v>
      </c>
    </row>
    <row r="866" spans="1:13">
      <c r="A866" s="16" t="s">
        <v>97</v>
      </c>
      <c r="B866" s="19" t="s">
        <v>273</v>
      </c>
      <c r="C866" s="20" t="s">
        <v>70</v>
      </c>
      <c r="D866" s="20" t="s">
        <v>62</v>
      </c>
      <c r="E866" s="97" t="s">
        <v>496</v>
      </c>
      <c r="F866" s="97" t="s">
        <v>98</v>
      </c>
      <c r="G866" s="187">
        <f>37-25</f>
        <v>12</v>
      </c>
      <c r="H866" s="187">
        <v>10.3</v>
      </c>
      <c r="I866" s="187">
        <f t="shared" si="67"/>
        <v>1.6999999999999993</v>
      </c>
      <c r="J866" s="189">
        <f t="shared" si="68"/>
        <v>85.833333333333343</v>
      </c>
    </row>
    <row r="867" spans="1:13" ht="25.5">
      <c r="A867" s="16" t="s">
        <v>27</v>
      </c>
      <c r="B867" s="19" t="s">
        <v>273</v>
      </c>
      <c r="C867" s="20" t="s">
        <v>70</v>
      </c>
      <c r="D867" s="20" t="s">
        <v>62</v>
      </c>
      <c r="E867" s="97" t="s">
        <v>497</v>
      </c>
      <c r="F867" s="97"/>
      <c r="G867" s="187">
        <f t="shared" ref="G867:H869" si="69">G868</f>
        <v>519.4</v>
      </c>
      <c r="H867" s="187">
        <f t="shared" si="69"/>
        <v>515.9</v>
      </c>
      <c r="I867" s="187">
        <f t="shared" si="67"/>
        <v>3.5</v>
      </c>
      <c r="J867" s="189">
        <f t="shared" si="68"/>
        <v>99.326145552560646</v>
      </c>
    </row>
    <row r="868" spans="1:13">
      <c r="A868" s="186" t="s">
        <v>498</v>
      </c>
      <c r="B868" s="19" t="s">
        <v>273</v>
      </c>
      <c r="C868" s="20" t="s">
        <v>70</v>
      </c>
      <c r="D868" s="20" t="s">
        <v>62</v>
      </c>
      <c r="E868" s="97" t="s">
        <v>499</v>
      </c>
      <c r="F868" s="97"/>
      <c r="G868" s="187">
        <f t="shared" si="69"/>
        <v>519.4</v>
      </c>
      <c r="H868" s="187">
        <f t="shared" si="69"/>
        <v>515.9</v>
      </c>
      <c r="I868" s="187">
        <f t="shared" si="67"/>
        <v>3.5</v>
      </c>
      <c r="J868" s="189">
        <f t="shared" si="68"/>
        <v>99.326145552560646</v>
      </c>
    </row>
    <row r="869" spans="1:13" ht="25.5">
      <c r="A869" s="16" t="s">
        <v>93</v>
      </c>
      <c r="B869" s="19" t="s">
        <v>273</v>
      </c>
      <c r="C869" s="20" t="s">
        <v>70</v>
      </c>
      <c r="D869" s="20" t="s">
        <v>62</v>
      </c>
      <c r="E869" s="97" t="s">
        <v>499</v>
      </c>
      <c r="F869" s="97" t="s">
        <v>94</v>
      </c>
      <c r="G869" s="187">
        <f t="shared" si="69"/>
        <v>519.4</v>
      </c>
      <c r="H869" s="187">
        <f t="shared" si="69"/>
        <v>515.9</v>
      </c>
      <c r="I869" s="187">
        <f t="shared" si="67"/>
        <v>3.5</v>
      </c>
      <c r="J869" s="189">
        <f t="shared" si="68"/>
        <v>99.326145552560646</v>
      </c>
    </row>
    <row r="870" spans="1:13">
      <c r="A870" s="16" t="s">
        <v>97</v>
      </c>
      <c r="B870" s="19" t="s">
        <v>273</v>
      </c>
      <c r="C870" s="20" t="s">
        <v>70</v>
      </c>
      <c r="D870" s="20" t="s">
        <v>62</v>
      </c>
      <c r="E870" s="97" t="s">
        <v>499</v>
      </c>
      <c r="F870" s="97" t="s">
        <v>98</v>
      </c>
      <c r="G870" s="187">
        <f>200+146+173.4</f>
        <v>519.4</v>
      </c>
      <c r="H870" s="187">
        <v>515.9</v>
      </c>
      <c r="I870" s="187">
        <f t="shared" si="67"/>
        <v>3.5</v>
      </c>
      <c r="J870" s="189">
        <f t="shared" si="68"/>
        <v>99.326145552560646</v>
      </c>
    </row>
    <row r="871" spans="1:13" ht="25.5">
      <c r="A871" s="15" t="s">
        <v>318</v>
      </c>
      <c r="B871" s="35" t="s">
        <v>274</v>
      </c>
      <c r="C871" s="31"/>
      <c r="D871" s="31"/>
      <c r="E871" s="100"/>
      <c r="F871" s="100"/>
      <c r="G871" s="185">
        <f>G887+G918+G992+G872</f>
        <v>56895.1</v>
      </c>
      <c r="H871" s="185">
        <f>H887+H918+H992+H872</f>
        <v>51243.7</v>
      </c>
      <c r="I871" s="187">
        <f t="shared" si="67"/>
        <v>5651.4000000000015</v>
      </c>
      <c r="J871" s="189">
        <f t="shared" si="68"/>
        <v>90.066982921200591</v>
      </c>
      <c r="L871" s="119">
        <f>G984+G988</f>
        <v>1075.0999999999999</v>
      </c>
      <c r="M871" s="119">
        <f>H984+H988</f>
        <v>0</v>
      </c>
    </row>
    <row r="872" spans="1:13">
      <c r="A872" s="107" t="s">
        <v>2</v>
      </c>
      <c r="B872" s="108" t="s">
        <v>274</v>
      </c>
      <c r="C872" s="108" t="s">
        <v>62</v>
      </c>
      <c r="D872" s="108" t="s">
        <v>33</v>
      </c>
      <c r="E872" s="108"/>
      <c r="F872" s="108"/>
      <c r="G872" s="185">
        <f>G873+G882</f>
        <v>883.6</v>
      </c>
      <c r="H872" s="185">
        <f>H873+H882</f>
        <v>661</v>
      </c>
      <c r="I872" s="187">
        <f t="shared" si="67"/>
        <v>222.60000000000002</v>
      </c>
      <c r="J872" s="189">
        <f t="shared" si="68"/>
        <v>74.807605251244908</v>
      </c>
      <c r="L872" s="119">
        <f>G871-L871-L873</f>
        <v>35753.199999999997</v>
      </c>
      <c r="M872" s="119">
        <f>H871-M871-M873</f>
        <v>31361.199999999997</v>
      </c>
    </row>
    <row r="873" spans="1:13" ht="38.25">
      <c r="A873" s="107" t="s">
        <v>16</v>
      </c>
      <c r="B873" s="108" t="s">
        <v>274</v>
      </c>
      <c r="C873" s="108" t="s">
        <v>62</v>
      </c>
      <c r="D873" s="108" t="s">
        <v>64</v>
      </c>
      <c r="E873" s="108"/>
      <c r="F873" s="108"/>
      <c r="G873" s="185">
        <f t="shared" ref="G873:H875" si="70">G874</f>
        <v>881.5</v>
      </c>
      <c r="H873" s="185">
        <f t="shared" si="70"/>
        <v>659</v>
      </c>
      <c r="I873" s="187">
        <f t="shared" si="67"/>
        <v>222.5</v>
      </c>
      <c r="J873" s="189">
        <f t="shared" si="68"/>
        <v>74.758933635847995</v>
      </c>
      <c r="L873" s="119">
        <f>G947</f>
        <v>20066.8</v>
      </c>
      <c r="M873" s="119">
        <f>H947</f>
        <v>19882.5</v>
      </c>
    </row>
    <row r="874" spans="1:13" ht="38.25">
      <c r="A874" s="109" t="s">
        <v>275</v>
      </c>
      <c r="B874" s="110" t="s">
        <v>274</v>
      </c>
      <c r="C874" s="110" t="s">
        <v>62</v>
      </c>
      <c r="D874" s="110" t="s">
        <v>64</v>
      </c>
      <c r="E874" s="110" t="s">
        <v>173</v>
      </c>
      <c r="F874" s="108"/>
      <c r="G874" s="187">
        <f t="shared" si="70"/>
        <v>881.5</v>
      </c>
      <c r="H874" s="187">
        <f t="shared" si="70"/>
        <v>659</v>
      </c>
      <c r="I874" s="187">
        <f t="shared" si="67"/>
        <v>222.5</v>
      </c>
      <c r="J874" s="189">
        <f t="shared" si="68"/>
        <v>74.758933635847995</v>
      </c>
    </row>
    <row r="875" spans="1:13">
      <c r="A875" s="109" t="s">
        <v>46</v>
      </c>
      <c r="B875" s="110" t="s">
        <v>274</v>
      </c>
      <c r="C875" s="110" t="s">
        <v>62</v>
      </c>
      <c r="D875" s="110" t="s">
        <v>64</v>
      </c>
      <c r="E875" s="110" t="s">
        <v>179</v>
      </c>
      <c r="F875" s="108"/>
      <c r="G875" s="187">
        <f t="shared" si="70"/>
        <v>881.5</v>
      </c>
      <c r="H875" s="187">
        <f t="shared" si="70"/>
        <v>659</v>
      </c>
      <c r="I875" s="187">
        <f t="shared" si="67"/>
        <v>222.5</v>
      </c>
      <c r="J875" s="189">
        <f t="shared" si="68"/>
        <v>74.758933635847995</v>
      </c>
    </row>
    <row r="876" spans="1:13">
      <c r="A876" s="109" t="s">
        <v>176</v>
      </c>
      <c r="B876" s="110" t="s">
        <v>274</v>
      </c>
      <c r="C876" s="110" t="s">
        <v>62</v>
      </c>
      <c r="D876" s="110" t="s">
        <v>64</v>
      </c>
      <c r="E876" s="110" t="s">
        <v>181</v>
      </c>
      <c r="F876" s="110"/>
      <c r="G876" s="187">
        <f>G879+G877</f>
        <v>881.5</v>
      </c>
      <c r="H876" s="187">
        <f>H879+H877</f>
        <v>659</v>
      </c>
      <c r="I876" s="187">
        <f t="shared" si="67"/>
        <v>222.5</v>
      </c>
      <c r="J876" s="189">
        <f t="shared" si="68"/>
        <v>74.758933635847995</v>
      </c>
    </row>
    <row r="877" spans="1:13" ht="25.5">
      <c r="A877" s="109" t="s">
        <v>331</v>
      </c>
      <c r="B877" s="110" t="s">
        <v>274</v>
      </c>
      <c r="C877" s="110" t="s">
        <v>62</v>
      </c>
      <c r="D877" s="110" t="s">
        <v>64</v>
      </c>
      <c r="E877" s="110" t="s">
        <v>181</v>
      </c>
      <c r="F877" s="110" t="s">
        <v>92</v>
      </c>
      <c r="G877" s="187">
        <f>G878</f>
        <v>275.2</v>
      </c>
      <c r="H877" s="187">
        <f>H878</f>
        <v>275.2</v>
      </c>
      <c r="I877" s="187">
        <f t="shared" si="67"/>
        <v>0</v>
      </c>
      <c r="J877" s="189">
        <f t="shared" si="68"/>
        <v>100</v>
      </c>
    </row>
    <row r="878" spans="1:13" ht="25.5">
      <c r="A878" s="16" t="s">
        <v>556</v>
      </c>
      <c r="B878" s="110" t="s">
        <v>274</v>
      </c>
      <c r="C878" s="110" t="s">
        <v>62</v>
      </c>
      <c r="D878" s="110" t="s">
        <v>64</v>
      </c>
      <c r="E878" s="110" t="s">
        <v>181</v>
      </c>
      <c r="F878" s="110" t="s">
        <v>89</v>
      </c>
      <c r="G878" s="187">
        <f>200+180-5-99.8</f>
        <v>275.2</v>
      </c>
      <c r="H878" s="187">
        <v>275.2</v>
      </c>
      <c r="I878" s="187">
        <f t="shared" si="67"/>
        <v>0</v>
      </c>
      <c r="J878" s="189">
        <f t="shared" si="68"/>
        <v>100</v>
      </c>
    </row>
    <row r="879" spans="1:13">
      <c r="A879" s="109" t="s">
        <v>108</v>
      </c>
      <c r="B879" s="110" t="s">
        <v>274</v>
      </c>
      <c r="C879" s="110" t="s">
        <v>62</v>
      </c>
      <c r="D879" s="110" t="s">
        <v>64</v>
      </c>
      <c r="E879" s="110" t="s">
        <v>181</v>
      </c>
      <c r="F879" s="110" t="s">
        <v>109</v>
      </c>
      <c r="G879" s="187">
        <f>G881+G880</f>
        <v>606.29999999999995</v>
      </c>
      <c r="H879" s="187">
        <f>H881+H880</f>
        <v>383.79999999999995</v>
      </c>
      <c r="I879" s="187">
        <f t="shared" si="67"/>
        <v>222.5</v>
      </c>
      <c r="J879" s="189">
        <f t="shared" si="68"/>
        <v>63.301995711693884</v>
      </c>
    </row>
    <row r="880" spans="1:13">
      <c r="A880" s="28" t="s">
        <v>597</v>
      </c>
      <c r="B880" s="110" t="s">
        <v>274</v>
      </c>
      <c r="C880" s="110" t="s">
        <v>62</v>
      </c>
      <c r="D880" s="110" t="s">
        <v>64</v>
      </c>
      <c r="E880" s="110" t="s">
        <v>181</v>
      </c>
      <c r="F880" s="127">
        <v>830</v>
      </c>
      <c r="G880" s="187">
        <f>150+426.5</f>
        <v>576.5</v>
      </c>
      <c r="H880" s="187">
        <v>356.4</v>
      </c>
      <c r="I880" s="187">
        <f t="shared" si="67"/>
        <v>220.10000000000002</v>
      </c>
      <c r="J880" s="189">
        <f t="shared" si="68"/>
        <v>61.821335646140497</v>
      </c>
    </row>
    <row r="881" spans="1:10">
      <c r="A881" s="109" t="s">
        <v>111</v>
      </c>
      <c r="B881" s="110" t="s">
        <v>274</v>
      </c>
      <c r="C881" s="110" t="s">
        <v>62</v>
      </c>
      <c r="D881" s="110" t="s">
        <v>64</v>
      </c>
      <c r="E881" s="110" t="s">
        <v>181</v>
      </c>
      <c r="F881" s="110" t="s">
        <v>112</v>
      </c>
      <c r="G881" s="187">
        <v>29.8</v>
      </c>
      <c r="H881" s="187">
        <v>27.4</v>
      </c>
      <c r="I881" s="187">
        <f t="shared" si="67"/>
        <v>2.4000000000000021</v>
      </c>
      <c r="J881" s="189">
        <f t="shared" si="68"/>
        <v>91.946308724832207</v>
      </c>
    </row>
    <row r="882" spans="1:10">
      <c r="A882" s="107" t="s">
        <v>59</v>
      </c>
      <c r="B882" s="111" t="s">
        <v>274</v>
      </c>
      <c r="C882" s="108" t="s">
        <v>62</v>
      </c>
      <c r="D882" s="108" t="s">
        <v>83</v>
      </c>
      <c r="E882" s="110"/>
      <c r="F882" s="110"/>
      <c r="G882" s="185">
        <f t="shared" ref="G882:H885" si="71">G883</f>
        <v>2.1000000000000014</v>
      </c>
      <c r="H882" s="185">
        <f t="shared" si="71"/>
        <v>2</v>
      </c>
      <c r="I882" s="187">
        <f t="shared" si="67"/>
        <v>0.10000000000000142</v>
      </c>
      <c r="J882" s="189">
        <f t="shared" si="68"/>
        <v>95.238095238095184</v>
      </c>
    </row>
    <row r="883" spans="1:10" ht="25.5">
      <c r="A883" s="112" t="s">
        <v>167</v>
      </c>
      <c r="B883" s="113" t="s">
        <v>274</v>
      </c>
      <c r="C883" s="110" t="s">
        <v>62</v>
      </c>
      <c r="D883" s="110" t="s">
        <v>83</v>
      </c>
      <c r="E883" s="110" t="s">
        <v>450</v>
      </c>
      <c r="F883" s="110"/>
      <c r="G883" s="187">
        <f t="shared" si="71"/>
        <v>2.1000000000000014</v>
      </c>
      <c r="H883" s="187">
        <f t="shared" si="71"/>
        <v>2</v>
      </c>
      <c r="I883" s="187">
        <f t="shared" si="67"/>
        <v>0.10000000000000142</v>
      </c>
      <c r="J883" s="189">
        <f t="shared" si="68"/>
        <v>95.238095238095184</v>
      </c>
    </row>
    <row r="884" spans="1:10" ht="38.25">
      <c r="A884" s="112" t="s">
        <v>543</v>
      </c>
      <c r="B884" s="110" t="s">
        <v>274</v>
      </c>
      <c r="C884" s="110" t="s">
        <v>62</v>
      </c>
      <c r="D884" s="110" t="s">
        <v>83</v>
      </c>
      <c r="E884" s="110" t="s">
        <v>452</v>
      </c>
      <c r="F884" s="110"/>
      <c r="G884" s="187">
        <f t="shared" si="71"/>
        <v>2.1000000000000014</v>
      </c>
      <c r="H884" s="187">
        <f t="shared" si="71"/>
        <v>2</v>
      </c>
      <c r="I884" s="187">
        <f t="shared" si="67"/>
        <v>0.10000000000000142</v>
      </c>
      <c r="J884" s="189">
        <f t="shared" si="68"/>
        <v>95.238095238095184</v>
      </c>
    </row>
    <row r="885" spans="1:10" ht="25.5">
      <c r="A885" s="109" t="s">
        <v>331</v>
      </c>
      <c r="B885" s="110" t="s">
        <v>274</v>
      </c>
      <c r="C885" s="110" t="s">
        <v>62</v>
      </c>
      <c r="D885" s="110" t="s">
        <v>83</v>
      </c>
      <c r="E885" s="110" t="s">
        <v>452</v>
      </c>
      <c r="F885" s="110" t="s">
        <v>92</v>
      </c>
      <c r="G885" s="187">
        <f t="shared" si="71"/>
        <v>2.1000000000000014</v>
      </c>
      <c r="H885" s="187">
        <f t="shared" si="71"/>
        <v>2</v>
      </c>
      <c r="I885" s="187">
        <f t="shared" si="67"/>
        <v>0.10000000000000142</v>
      </c>
      <c r="J885" s="189">
        <f t="shared" si="68"/>
        <v>95.238095238095184</v>
      </c>
    </row>
    <row r="886" spans="1:10" ht="25.5">
      <c r="A886" s="16" t="s">
        <v>556</v>
      </c>
      <c r="B886" s="110" t="s">
        <v>274</v>
      </c>
      <c r="C886" s="110" t="s">
        <v>62</v>
      </c>
      <c r="D886" s="110" t="s">
        <v>83</v>
      </c>
      <c r="E886" s="110" t="s">
        <v>452</v>
      </c>
      <c r="F886" s="110" t="s">
        <v>89</v>
      </c>
      <c r="G886" s="187">
        <f>41-38.9</f>
        <v>2.1000000000000014</v>
      </c>
      <c r="H886" s="187">
        <v>2</v>
      </c>
      <c r="I886" s="187">
        <f t="shared" si="67"/>
        <v>0.10000000000000142</v>
      </c>
      <c r="J886" s="189">
        <f t="shared" si="68"/>
        <v>95.238095238095184</v>
      </c>
    </row>
    <row r="887" spans="1:10">
      <c r="A887" s="15" t="s">
        <v>5</v>
      </c>
      <c r="B887" s="35" t="s">
        <v>274</v>
      </c>
      <c r="C887" s="35" t="s">
        <v>64</v>
      </c>
      <c r="D887" s="35" t="s">
        <v>33</v>
      </c>
      <c r="E887" s="100"/>
      <c r="F887" s="100"/>
      <c r="G887" s="185">
        <f>G899+G888</f>
        <v>9032.7000000000007</v>
      </c>
      <c r="H887" s="185">
        <f>H899+H888</f>
        <v>7033.6</v>
      </c>
      <c r="I887" s="187">
        <f t="shared" si="67"/>
        <v>1999.1000000000004</v>
      </c>
      <c r="J887" s="189">
        <f t="shared" si="68"/>
        <v>77.868190020702556</v>
      </c>
    </row>
    <row r="888" spans="1:10">
      <c r="A888" s="15" t="s">
        <v>319</v>
      </c>
      <c r="B888" s="35" t="s">
        <v>274</v>
      </c>
      <c r="C888" s="35" t="s">
        <v>64</v>
      </c>
      <c r="D888" s="35" t="s">
        <v>72</v>
      </c>
      <c r="E888" s="100"/>
      <c r="F888" s="100"/>
      <c r="G888" s="185">
        <f>G895+G889</f>
        <v>1419.5</v>
      </c>
      <c r="H888" s="185">
        <f>H895+H889</f>
        <v>4.9000000000000004</v>
      </c>
      <c r="I888" s="187">
        <f t="shared" si="67"/>
        <v>1414.6</v>
      </c>
      <c r="J888" s="189">
        <f t="shared" si="68"/>
        <v>0.34519196900317012</v>
      </c>
    </row>
    <row r="889" spans="1:10">
      <c r="A889" s="16" t="s">
        <v>430</v>
      </c>
      <c r="B889" s="19" t="s">
        <v>274</v>
      </c>
      <c r="C889" s="20" t="s">
        <v>64</v>
      </c>
      <c r="D889" s="20" t="s">
        <v>72</v>
      </c>
      <c r="E889" s="102" t="s">
        <v>500</v>
      </c>
      <c r="F889" s="100"/>
      <c r="G889" s="187">
        <f t="shared" ref="G889:H893" si="72">G890</f>
        <v>1414.4</v>
      </c>
      <c r="H889" s="187">
        <f t="shared" si="72"/>
        <v>0</v>
      </c>
      <c r="I889" s="187">
        <f t="shared" si="67"/>
        <v>1414.4</v>
      </c>
      <c r="J889" s="189">
        <f t="shared" si="68"/>
        <v>0</v>
      </c>
    </row>
    <row r="890" spans="1:10" ht="25.5">
      <c r="A890" s="16" t="str">
        <f>'МП пр.5'!A9</f>
        <v>Муниципальная программа "Развитие водохозяйственного комплекса Сусуманского городского округа на 2018-2022 год"</v>
      </c>
      <c r="B890" s="19" t="s">
        <v>274</v>
      </c>
      <c r="C890" s="20" t="s">
        <v>64</v>
      </c>
      <c r="D890" s="20" t="s">
        <v>72</v>
      </c>
      <c r="E890" s="102" t="str">
        <f>'МП пр.5'!B9</f>
        <v>7А 0 00 00000</v>
      </c>
      <c r="F890" s="97"/>
      <c r="G890" s="187">
        <f t="shared" si="72"/>
        <v>1414.4</v>
      </c>
      <c r="H890" s="187">
        <f t="shared" si="72"/>
        <v>0</v>
      </c>
      <c r="I890" s="187">
        <f t="shared" si="67"/>
        <v>1414.4</v>
      </c>
      <c r="J890" s="189">
        <f t="shared" si="68"/>
        <v>0</v>
      </c>
    </row>
    <row r="891" spans="1:10" ht="25.5">
      <c r="A891" s="16" t="str">
        <f>'МП пр.5'!A10</f>
        <v>Основное мероприятие "Разработка декларации безопасности (включая государственную экспертизу)"</v>
      </c>
      <c r="B891" s="20" t="s">
        <v>274</v>
      </c>
      <c r="C891" s="20" t="s">
        <v>64</v>
      </c>
      <c r="D891" s="20" t="s">
        <v>72</v>
      </c>
      <c r="E891" s="97" t="str">
        <f>'МП пр.5'!B10</f>
        <v>7А 0 01 00000</v>
      </c>
      <c r="F891" s="100"/>
      <c r="G891" s="187">
        <f t="shared" si="72"/>
        <v>1414.4</v>
      </c>
      <c r="H891" s="187">
        <f t="shared" si="72"/>
        <v>0</v>
      </c>
      <c r="I891" s="187">
        <f t="shared" si="67"/>
        <v>1414.4</v>
      </c>
      <c r="J891" s="189">
        <f t="shared" si="68"/>
        <v>0</v>
      </c>
    </row>
    <row r="892" spans="1:10" ht="38.25">
      <c r="A892" s="16" t="str">
        <f>'МП пр.5'!A11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892" s="20" t="s">
        <v>274</v>
      </c>
      <c r="C892" s="20" t="s">
        <v>64</v>
      </c>
      <c r="D892" s="20" t="s">
        <v>72</v>
      </c>
      <c r="E892" s="97" t="str">
        <f>'МП пр.5'!B11</f>
        <v>7А 0 01 93340</v>
      </c>
      <c r="F892" s="100"/>
      <c r="G892" s="187">
        <f t="shared" si="72"/>
        <v>1414.4</v>
      </c>
      <c r="H892" s="187">
        <f t="shared" si="72"/>
        <v>0</v>
      </c>
      <c r="I892" s="187">
        <f t="shared" si="67"/>
        <v>1414.4</v>
      </c>
      <c r="J892" s="189">
        <f t="shared" si="68"/>
        <v>0</v>
      </c>
    </row>
    <row r="893" spans="1:10" ht="25.5">
      <c r="A893" s="16" t="s">
        <v>331</v>
      </c>
      <c r="B893" s="20" t="s">
        <v>274</v>
      </c>
      <c r="C893" s="20" t="s">
        <v>64</v>
      </c>
      <c r="D893" s="20" t="s">
        <v>72</v>
      </c>
      <c r="E893" s="97" t="str">
        <f>'МП пр.5'!B12</f>
        <v>7А 0 01 93340</v>
      </c>
      <c r="F893" s="97" t="s">
        <v>92</v>
      </c>
      <c r="G893" s="187">
        <f t="shared" si="72"/>
        <v>1414.4</v>
      </c>
      <c r="H893" s="187">
        <f t="shared" si="72"/>
        <v>0</v>
      </c>
      <c r="I893" s="187">
        <f t="shared" si="67"/>
        <v>1414.4</v>
      </c>
      <c r="J893" s="189">
        <f t="shared" si="68"/>
        <v>0</v>
      </c>
    </row>
    <row r="894" spans="1:10" ht="25.5">
      <c r="A894" s="16" t="s">
        <v>556</v>
      </c>
      <c r="B894" s="20" t="s">
        <v>274</v>
      </c>
      <c r="C894" s="20" t="s">
        <v>64</v>
      </c>
      <c r="D894" s="20" t="s">
        <v>72</v>
      </c>
      <c r="E894" s="97" t="str">
        <f>'МП пр.5'!B13</f>
        <v>7А 0 01 93340</v>
      </c>
      <c r="F894" s="97" t="s">
        <v>89</v>
      </c>
      <c r="G894" s="187">
        <f>'МП пр.5'!G16</f>
        <v>1414.4</v>
      </c>
      <c r="H894" s="187">
        <f>'МП пр.5'!H16</f>
        <v>0</v>
      </c>
      <c r="I894" s="187">
        <f t="shared" si="67"/>
        <v>1414.4</v>
      </c>
      <c r="J894" s="189">
        <f t="shared" si="68"/>
        <v>0</v>
      </c>
    </row>
    <row r="895" spans="1:10">
      <c r="A895" s="16" t="s">
        <v>501</v>
      </c>
      <c r="B895" s="20" t="s">
        <v>274</v>
      </c>
      <c r="C895" s="20" t="s">
        <v>64</v>
      </c>
      <c r="D895" s="20" t="s">
        <v>72</v>
      </c>
      <c r="E895" s="97" t="s">
        <v>502</v>
      </c>
      <c r="F895" s="97"/>
      <c r="G895" s="187">
        <f>G898</f>
        <v>5.0999999999999996</v>
      </c>
      <c r="H895" s="187">
        <f>H898</f>
        <v>4.9000000000000004</v>
      </c>
      <c r="I895" s="187">
        <f t="shared" si="67"/>
        <v>0.19999999999999929</v>
      </c>
      <c r="J895" s="189">
        <f t="shared" si="68"/>
        <v>96.078431372549034</v>
      </c>
    </row>
    <row r="896" spans="1:10">
      <c r="A896" s="16" t="s">
        <v>503</v>
      </c>
      <c r="B896" s="20" t="s">
        <v>274</v>
      </c>
      <c r="C896" s="20" t="s">
        <v>64</v>
      </c>
      <c r="D896" s="20" t="s">
        <v>72</v>
      </c>
      <c r="E896" s="97" t="s">
        <v>504</v>
      </c>
      <c r="F896" s="97"/>
      <c r="G896" s="187">
        <f>G897</f>
        <v>5.0999999999999996</v>
      </c>
      <c r="H896" s="187">
        <f>H897</f>
        <v>4.9000000000000004</v>
      </c>
      <c r="I896" s="187">
        <f t="shared" si="67"/>
        <v>0.19999999999999929</v>
      </c>
      <c r="J896" s="189">
        <f t="shared" si="68"/>
        <v>96.078431372549034</v>
      </c>
    </row>
    <row r="897" spans="1:10" ht="25.5">
      <c r="A897" s="16" t="s">
        <v>331</v>
      </c>
      <c r="B897" s="20" t="s">
        <v>274</v>
      </c>
      <c r="C897" s="20" t="s">
        <v>64</v>
      </c>
      <c r="D897" s="20" t="s">
        <v>72</v>
      </c>
      <c r="E897" s="97" t="s">
        <v>504</v>
      </c>
      <c r="F897" s="97" t="s">
        <v>92</v>
      </c>
      <c r="G897" s="187">
        <f>G898</f>
        <v>5.0999999999999996</v>
      </c>
      <c r="H897" s="187">
        <f>H898</f>
        <v>4.9000000000000004</v>
      </c>
      <c r="I897" s="187">
        <f t="shared" si="67"/>
        <v>0.19999999999999929</v>
      </c>
      <c r="J897" s="189">
        <f t="shared" si="68"/>
        <v>96.078431372549034</v>
      </c>
    </row>
    <row r="898" spans="1:10" ht="25.5">
      <c r="A898" s="16" t="s">
        <v>556</v>
      </c>
      <c r="B898" s="20" t="s">
        <v>274</v>
      </c>
      <c r="C898" s="20" t="s">
        <v>64</v>
      </c>
      <c r="D898" s="20" t="s">
        <v>72</v>
      </c>
      <c r="E898" s="97" t="s">
        <v>504</v>
      </c>
      <c r="F898" s="97" t="s">
        <v>89</v>
      </c>
      <c r="G898" s="187">
        <f>3.1+2</f>
        <v>5.0999999999999996</v>
      </c>
      <c r="H898" s="187">
        <v>4.9000000000000004</v>
      </c>
      <c r="I898" s="187">
        <f t="shared" si="67"/>
        <v>0.19999999999999929</v>
      </c>
      <c r="J898" s="189">
        <f t="shared" si="68"/>
        <v>96.078431372549034</v>
      </c>
    </row>
    <row r="899" spans="1:10">
      <c r="A899" s="15" t="s">
        <v>78</v>
      </c>
      <c r="B899" s="35" t="s">
        <v>274</v>
      </c>
      <c r="C899" s="35" t="s">
        <v>64</v>
      </c>
      <c r="D899" s="35" t="s">
        <v>71</v>
      </c>
      <c r="E899" s="100"/>
      <c r="F899" s="100"/>
      <c r="G899" s="185">
        <f>G901+G909+G914</f>
        <v>7613.2000000000007</v>
      </c>
      <c r="H899" s="185">
        <f>H901+H909+H914</f>
        <v>7028.7000000000007</v>
      </c>
      <c r="I899" s="187">
        <f t="shared" si="67"/>
        <v>584.5</v>
      </c>
      <c r="J899" s="189">
        <f t="shared" si="68"/>
        <v>92.322545053328426</v>
      </c>
    </row>
    <row r="900" spans="1:10">
      <c r="A900" s="16" t="s">
        <v>430</v>
      </c>
      <c r="B900" s="19" t="s">
        <v>274</v>
      </c>
      <c r="C900" s="20" t="s">
        <v>64</v>
      </c>
      <c r="D900" s="20" t="s">
        <v>71</v>
      </c>
      <c r="E900" s="102" t="s">
        <v>500</v>
      </c>
      <c r="F900" s="97"/>
      <c r="G900" s="187">
        <f>G901+G909</f>
        <v>6141.8</v>
      </c>
      <c r="H900" s="187">
        <f>H901+H909</f>
        <v>6138.7000000000007</v>
      </c>
      <c r="I900" s="187">
        <f t="shared" si="67"/>
        <v>3.0999999999994543</v>
      </c>
      <c r="J900" s="189">
        <f t="shared" si="68"/>
        <v>99.949526197531682</v>
      </c>
    </row>
    <row r="901" spans="1:10" ht="38.25">
      <c r="A901" s="16" t="str">
        <f>'МП пр.5'!A640</f>
        <v>Муниципальная программа "Повышение безопасности дорожного движения на территории Сусуманского городского округа на 2018- 2022 годы"</v>
      </c>
      <c r="B901" s="19" t="s">
        <v>274</v>
      </c>
      <c r="C901" s="20" t="s">
        <v>64</v>
      </c>
      <c r="D901" s="20" t="s">
        <v>71</v>
      </c>
      <c r="E901" s="102" t="str">
        <f>'МП пр.5'!B640</f>
        <v>7D 0 00 00000</v>
      </c>
      <c r="F901" s="97"/>
      <c r="G901" s="187">
        <f>G902</f>
        <v>1825.2</v>
      </c>
      <c r="H901" s="187">
        <f>H902</f>
        <v>1822.1</v>
      </c>
      <c r="I901" s="187">
        <f t="shared" si="67"/>
        <v>3.1000000000001364</v>
      </c>
      <c r="J901" s="189">
        <f t="shared" si="68"/>
        <v>99.830155599386359</v>
      </c>
    </row>
    <row r="902" spans="1:10">
      <c r="A902" s="28" t="str">
        <f>'МП пр.5'!A641</f>
        <v>Основное мероприятие "Обеспечение реализации программы"</v>
      </c>
      <c r="B902" s="19" t="s">
        <v>274</v>
      </c>
      <c r="C902" s="20" t="s">
        <v>64</v>
      </c>
      <c r="D902" s="20" t="s">
        <v>71</v>
      </c>
      <c r="E902" s="102" t="str">
        <f>'МП пр.5'!B641</f>
        <v>7D 0 01 00000</v>
      </c>
      <c r="F902" s="97"/>
      <c r="G902" s="187">
        <f>G906+G903</f>
        <v>1825.2</v>
      </c>
      <c r="H902" s="187">
        <f>H906+H903</f>
        <v>1822.1</v>
      </c>
      <c r="I902" s="187">
        <f t="shared" si="67"/>
        <v>3.1000000000001364</v>
      </c>
      <c r="J902" s="189">
        <f t="shared" si="68"/>
        <v>99.830155599386359</v>
      </c>
    </row>
    <row r="903" spans="1:10">
      <c r="A903" s="28" t="str">
        <f>'МП пр.5'!A642</f>
        <v>Приобретение пешеходных ограждений</v>
      </c>
      <c r="B903" s="19" t="s">
        <v>274</v>
      </c>
      <c r="C903" s="20" t="s">
        <v>64</v>
      </c>
      <c r="D903" s="20" t="s">
        <v>71</v>
      </c>
      <c r="E903" s="102" t="str">
        <f>'МП пр.5'!B642</f>
        <v>7D 0 01 95420</v>
      </c>
      <c r="F903" s="97"/>
      <c r="G903" s="187">
        <f>G904</f>
        <v>1200</v>
      </c>
      <c r="H903" s="187">
        <f>H904</f>
        <v>1200</v>
      </c>
      <c r="I903" s="187">
        <f t="shared" si="67"/>
        <v>0</v>
      </c>
      <c r="J903" s="189">
        <f t="shared" si="68"/>
        <v>100</v>
      </c>
    </row>
    <row r="904" spans="1:10" ht="25.5">
      <c r="A904" s="28" t="str">
        <f>'МП пр.5'!A645</f>
        <v>Закупка товаров, работ и услуг для обеспечения государственных (муниципальных) нужд</v>
      </c>
      <c r="B904" s="19" t="s">
        <v>274</v>
      </c>
      <c r="C904" s="20" t="s">
        <v>64</v>
      </c>
      <c r="D904" s="20" t="s">
        <v>71</v>
      </c>
      <c r="E904" s="102" t="str">
        <f>'МП пр.5'!B643</f>
        <v>7D 0 01 95420</v>
      </c>
      <c r="F904" s="121">
        <v>200</v>
      </c>
      <c r="G904" s="187">
        <f>G905</f>
        <v>1200</v>
      </c>
      <c r="H904" s="187">
        <f>H905</f>
        <v>1200</v>
      </c>
      <c r="I904" s="187">
        <f t="shared" si="67"/>
        <v>0</v>
      </c>
      <c r="J904" s="189">
        <f t="shared" si="68"/>
        <v>100</v>
      </c>
    </row>
    <row r="905" spans="1:10" ht="25.5">
      <c r="A905" s="28" t="str">
        <f>'МП пр.5'!A646</f>
        <v>Иные закупки товаров, работ и услуг для обеспечения государственных (муниципальных )нужд</v>
      </c>
      <c r="B905" s="19" t="s">
        <v>274</v>
      </c>
      <c r="C905" s="20" t="s">
        <v>64</v>
      </c>
      <c r="D905" s="20" t="s">
        <v>71</v>
      </c>
      <c r="E905" s="102" t="str">
        <f>'МП пр.5'!B644</f>
        <v>7D 0 01 95420</v>
      </c>
      <c r="F905" s="121">
        <v>240</v>
      </c>
      <c r="G905" s="187">
        <f>'МП пр.5'!G647</f>
        <v>1200</v>
      </c>
      <c r="H905" s="187">
        <f>'МП пр.5'!H647</f>
        <v>1200</v>
      </c>
      <c r="I905" s="187">
        <f t="shared" si="67"/>
        <v>0</v>
      </c>
      <c r="J905" s="189">
        <f t="shared" si="68"/>
        <v>100</v>
      </c>
    </row>
    <row r="906" spans="1:10" ht="51">
      <c r="A906" s="16" t="str">
        <f>'МП пр.5'!A648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906" s="19" t="s">
        <v>274</v>
      </c>
      <c r="C906" s="20" t="s">
        <v>64</v>
      </c>
      <c r="D906" s="20" t="s">
        <v>71</v>
      </c>
      <c r="E906" s="102" t="str">
        <f>'МП пр.5'!B648</f>
        <v>7D 0 01 95450</v>
      </c>
      <c r="F906" s="97"/>
      <c r="G906" s="187">
        <f>G907</f>
        <v>625.20000000000005</v>
      </c>
      <c r="H906" s="187">
        <f>H907</f>
        <v>622.1</v>
      </c>
      <c r="I906" s="187">
        <f t="shared" si="67"/>
        <v>3.1000000000000227</v>
      </c>
      <c r="J906" s="189">
        <f t="shared" si="68"/>
        <v>99.504158669225845</v>
      </c>
    </row>
    <row r="907" spans="1:10" ht="25.5">
      <c r="A907" s="16" t="s">
        <v>331</v>
      </c>
      <c r="B907" s="19" t="s">
        <v>274</v>
      </c>
      <c r="C907" s="20" t="s">
        <v>64</v>
      </c>
      <c r="D907" s="20" t="s">
        <v>71</v>
      </c>
      <c r="E907" s="102" t="str">
        <f>'МП пр.5'!B649</f>
        <v>7D 0 01 95450</v>
      </c>
      <c r="F907" s="97" t="s">
        <v>92</v>
      </c>
      <c r="G907" s="187">
        <f>G908</f>
        <v>625.20000000000005</v>
      </c>
      <c r="H907" s="187">
        <f>H908</f>
        <v>622.1</v>
      </c>
      <c r="I907" s="187">
        <f t="shared" si="67"/>
        <v>3.1000000000000227</v>
      </c>
      <c r="J907" s="189">
        <f t="shared" si="68"/>
        <v>99.504158669225845</v>
      </c>
    </row>
    <row r="908" spans="1:10" ht="25.5">
      <c r="A908" s="16" t="s">
        <v>556</v>
      </c>
      <c r="B908" s="19" t="s">
        <v>274</v>
      </c>
      <c r="C908" s="20" t="s">
        <v>64</v>
      </c>
      <c r="D908" s="20" t="s">
        <v>71</v>
      </c>
      <c r="E908" s="102" t="str">
        <f>'МП пр.5'!B650</f>
        <v>7D 0 01 95450</v>
      </c>
      <c r="F908" s="97" t="s">
        <v>89</v>
      </c>
      <c r="G908" s="187">
        <f>'МП пр.5'!G653</f>
        <v>625.20000000000005</v>
      </c>
      <c r="H908" s="187">
        <f>'МП пр.5'!H653</f>
        <v>622.1</v>
      </c>
      <c r="I908" s="187">
        <f t="shared" si="67"/>
        <v>3.1000000000000227</v>
      </c>
      <c r="J908" s="189">
        <f t="shared" si="68"/>
        <v>99.504158669225845</v>
      </c>
    </row>
    <row r="909" spans="1:10" ht="38.25">
      <c r="A909" s="28" t="str">
        <f>'МП пр.5'!A727</f>
        <v>Муниципальная программа "Содержание автомобильных дорог общего пользования местного значения Сусуманского городского округа на 2018- 2022 годы"</v>
      </c>
      <c r="B909" s="19" t="s">
        <v>274</v>
      </c>
      <c r="C909" s="20" t="s">
        <v>64</v>
      </c>
      <c r="D909" s="20" t="s">
        <v>71</v>
      </c>
      <c r="E909" s="102" t="str">
        <f>'МП пр.5'!B727</f>
        <v xml:space="preserve">7S 0 00 00000 </v>
      </c>
      <c r="F909" s="97"/>
      <c r="G909" s="187">
        <f t="shared" ref="G909:H912" si="73">G910</f>
        <v>4316.6000000000004</v>
      </c>
      <c r="H909" s="187">
        <f t="shared" si="73"/>
        <v>4316.6000000000004</v>
      </c>
      <c r="I909" s="187">
        <f t="shared" si="67"/>
        <v>0</v>
      </c>
      <c r="J909" s="189">
        <f t="shared" si="68"/>
        <v>100</v>
      </c>
    </row>
    <row r="910" spans="1:10" ht="25.5">
      <c r="A910" s="28" t="str">
        <f>'МП пр.5'!A728</f>
        <v>Основное мероприятие "Содержание автомобильных дорог общего пользования местного значения"</v>
      </c>
      <c r="B910" s="19" t="s">
        <v>274</v>
      </c>
      <c r="C910" s="20" t="s">
        <v>64</v>
      </c>
      <c r="D910" s="20" t="s">
        <v>71</v>
      </c>
      <c r="E910" s="102" t="s">
        <v>321</v>
      </c>
      <c r="F910" s="97"/>
      <c r="G910" s="187">
        <f t="shared" si="73"/>
        <v>4316.6000000000004</v>
      </c>
      <c r="H910" s="187">
        <f t="shared" si="73"/>
        <v>4316.6000000000004</v>
      </c>
      <c r="I910" s="187">
        <f t="shared" si="67"/>
        <v>0</v>
      </c>
      <c r="J910" s="189">
        <f t="shared" si="68"/>
        <v>100</v>
      </c>
    </row>
    <row r="911" spans="1:10" ht="25.5">
      <c r="A911" s="28" t="str">
        <f>'МП пр.5'!A729</f>
        <v>Содержание автомобильных дорог общего пользования местного значения Сусуманского городского округа</v>
      </c>
      <c r="B911" s="19" t="s">
        <v>274</v>
      </c>
      <c r="C911" s="20" t="s">
        <v>64</v>
      </c>
      <c r="D911" s="20" t="s">
        <v>71</v>
      </c>
      <c r="E911" s="102" t="str">
        <f>'МП пр.5'!B729</f>
        <v xml:space="preserve">7S 0 01 95310 </v>
      </c>
      <c r="F911" s="97"/>
      <c r="G911" s="187">
        <f t="shared" si="73"/>
        <v>4316.6000000000004</v>
      </c>
      <c r="H911" s="187">
        <f t="shared" si="73"/>
        <v>4316.6000000000004</v>
      </c>
      <c r="I911" s="187">
        <f t="shared" ref="I911:I974" si="74">G911-H911</f>
        <v>0</v>
      </c>
      <c r="J911" s="189">
        <f t="shared" ref="J911:J974" si="75">H911/G911*100</f>
        <v>100</v>
      </c>
    </row>
    <row r="912" spans="1:10" ht="25.5">
      <c r="A912" s="16" t="s">
        <v>331</v>
      </c>
      <c r="B912" s="19" t="s">
        <v>274</v>
      </c>
      <c r="C912" s="20" t="s">
        <v>64</v>
      </c>
      <c r="D912" s="20" t="s">
        <v>71</v>
      </c>
      <c r="E912" s="102" t="s">
        <v>323</v>
      </c>
      <c r="F912" s="97" t="s">
        <v>92</v>
      </c>
      <c r="G912" s="187">
        <f t="shared" si="73"/>
        <v>4316.6000000000004</v>
      </c>
      <c r="H912" s="187">
        <f t="shared" si="73"/>
        <v>4316.6000000000004</v>
      </c>
      <c r="I912" s="187">
        <f t="shared" si="74"/>
        <v>0</v>
      </c>
      <c r="J912" s="189">
        <f t="shared" si="75"/>
        <v>100</v>
      </c>
    </row>
    <row r="913" spans="1:10" ht="25.5">
      <c r="A913" s="16" t="s">
        <v>556</v>
      </c>
      <c r="B913" s="19" t="s">
        <v>274</v>
      </c>
      <c r="C913" s="20" t="s">
        <v>64</v>
      </c>
      <c r="D913" s="20" t="s">
        <v>71</v>
      </c>
      <c r="E913" s="102" t="s">
        <v>323</v>
      </c>
      <c r="F913" s="97" t="s">
        <v>89</v>
      </c>
      <c r="G913" s="187">
        <f>'МП пр.5'!G734</f>
        <v>4316.6000000000004</v>
      </c>
      <c r="H913" s="187">
        <f>'МП пр.5'!H734</f>
        <v>4316.6000000000004</v>
      </c>
      <c r="I913" s="187">
        <f t="shared" si="74"/>
        <v>0</v>
      </c>
      <c r="J913" s="189">
        <f t="shared" si="75"/>
        <v>100</v>
      </c>
    </row>
    <row r="914" spans="1:10">
      <c r="A914" s="16" t="s">
        <v>266</v>
      </c>
      <c r="B914" s="19" t="s">
        <v>274</v>
      </c>
      <c r="C914" s="19" t="s">
        <v>64</v>
      </c>
      <c r="D914" s="19" t="s">
        <v>71</v>
      </c>
      <c r="E914" s="97" t="s">
        <v>505</v>
      </c>
      <c r="F914" s="100"/>
      <c r="G914" s="187">
        <f t="shared" ref="G914:H916" si="76">G915</f>
        <v>1471.4</v>
      </c>
      <c r="H914" s="187">
        <f t="shared" si="76"/>
        <v>890</v>
      </c>
      <c r="I914" s="187">
        <f t="shared" si="74"/>
        <v>581.40000000000009</v>
      </c>
      <c r="J914" s="189">
        <f t="shared" si="75"/>
        <v>60.486611390512437</v>
      </c>
    </row>
    <row r="915" spans="1:10" ht="25.5">
      <c r="A915" s="16" t="s">
        <v>506</v>
      </c>
      <c r="B915" s="19" t="s">
        <v>274</v>
      </c>
      <c r="C915" s="19" t="s">
        <v>64</v>
      </c>
      <c r="D915" s="19" t="s">
        <v>71</v>
      </c>
      <c r="E915" s="97" t="s">
        <v>507</v>
      </c>
      <c r="F915" s="100"/>
      <c r="G915" s="187">
        <f t="shared" si="76"/>
        <v>1471.4</v>
      </c>
      <c r="H915" s="187">
        <f t="shared" si="76"/>
        <v>890</v>
      </c>
      <c r="I915" s="187">
        <f t="shared" si="74"/>
        <v>581.40000000000009</v>
      </c>
      <c r="J915" s="189">
        <f t="shared" si="75"/>
        <v>60.486611390512437</v>
      </c>
    </row>
    <row r="916" spans="1:10" ht="25.5">
      <c r="A916" s="16" t="s">
        <v>331</v>
      </c>
      <c r="B916" s="19" t="s">
        <v>274</v>
      </c>
      <c r="C916" s="19" t="s">
        <v>64</v>
      </c>
      <c r="D916" s="19" t="s">
        <v>71</v>
      </c>
      <c r="E916" s="97" t="s">
        <v>507</v>
      </c>
      <c r="F916" s="97" t="s">
        <v>92</v>
      </c>
      <c r="G916" s="187">
        <f t="shared" si="76"/>
        <v>1471.4</v>
      </c>
      <c r="H916" s="187">
        <f t="shared" si="76"/>
        <v>890</v>
      </c>
      <c r="I916" s="187">
        <f t="shared" si="74"/>
        <v>581.40000000000009</v>
      </c>
      <c r="J916" s="189">
        <f t="shared" si="75"/>
        <v>60.486611390512437</v>
      </c>
    </row>
    <row r="917" spans="1:10" ht="25.5">
      <c r="A917" s="16" t="s">
        <v>556</v>
      </c>
      <c r="B917" s="19" t="s">
        <v>274</v>
      </c>
      <c r="C917" s="19" t="s">
        <v>64</v>
      </c>
      <c r="D917" s="19" t="s">
        <v>71</v>
      </c>
      <c r="E917" s="97" t="s">
        <v>507</v>
      </c>
      <c r="F917" s="97" t="s">
        <v>89</v>
      </c>
      <c r="G917" s="187">
        <f>2421.4-950</f>
        <v>1471.4</v>
      </c>
      <c r="H917" s="187">
        <v>890</v>
      </c>
      <c r="I917" s="187">
        <f t="shared" si="74"/>
        <v>581.40000000000009</v>
      </c>
      <c r="J917" s="189">
        <f t="shared" si="75"/>
        <v>60.486611390512437</v>
      </c>
    </row>
    <row r="918" spans="1:10">
      <c r="A918" s="14" t="s">
        <v>126</v>
      </c>
      <c r="B918" s="35" t="s">
        <v>274</v>
      </c>
      <c r="C918" s="35" t="s">
        <v>68</v>
      </c>
      <c r="D918" s="35" t="s">
        <v>33</v>
      </c>
      <c r="E918" s="97"/>
      <c r="F918" s="97"/>
      <c r="G918" s="185">
        <f>G919+G935+G957</f>
        <v>46743.8</v>
      </c>
      <c r="H918" s="185">
        <f>H919+H935+H957</f>
        <v>43464.1</v>
      </c>
      <c r="I918" s="187">
        <f t="shared" si="74"/>
        <v>3279.7000000000044</v>
      </c>
      <c r="J918" s="189">
        <f t="shared" si="75"/>
        <v>92.983668422336223</v>
      </c>
    </row>
    <row r="919" spans="1:10">
      <c r="A919" s="14" t="s">
        <v>125</v>
      </c>
      <c r="B919" s="35" t="s">
        <v>274</v>
      </c>
      <c r="C919" s="35" t="s">
        <v>68</v>
      </c>
      <c r="D919" s="35" t="s">
        <v>62</v>
      </c>
      <c r="E919" s="100"/>
      <c r="F919" s="100"/>
      <c r="G919" s="185">
        <f>G926+G921</f>
        <v>16570.7</v>
      </c>
      <c r="H919" s="185">
        <f>H926+H921</f>
        <v>14783.4</v>
      </c>
      <c r="I919" s="187">
        <f t="shared" si="74"/>
        <v>1787.3000000000011</v>
      </c>
      <c r="J919" s="189">
        <f t="shared" si="75"/>
        <v>89.214094757614333</v>
      </c>
    </row>
    <row r="920" spans="1:10">
      <c r="A920" s="16" t="s">
        <v>430</v>
      </c>
      <c r="B920" s="19" t="s">
        <v>274</v>
      </c>
      <c r="C920" s="19" t="s">
        <v>68</v>
      </c>
      <c r="D920" s="19" t="s">
        <v>62</v>
      </c>
      <c r="E920" s="102" t="s">
        <v>431</v>
      </c>
      <c r="F920" s="97"/>
      <c r="G920" s="187">
        <f t="shared" ref="G920:H924" si="77">G921</f>
        <v>4475</v>
      </c>
      <c r="H920" s="187">
        <f t="shared" si="77"/>
        <v>4475</v>
      </c>
      <c r="I920" s="187">
        <f t="shared" si="74"/>
        <v>0</v>
      </c>
      <c r="J920" s="189">
        <f t="shared" si="75"/>
        <v>100</v>
      </c>
    </row>
    <row r="921" spans="1:10" ht="51">
      <c r="A921" s="28" t="str">
        <f>'МП пр.5'!A69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921" s="19" t="s">
        <v>274</v>
      </c>
      <c r="C921" s="19" t="s">
        <v>68</v>
      </c>
      <c r="D921" s="19" t="s">
        <v>62</v>
      </c>
      <c r="E921" s="102" t="str">
        <f>'МП пр.5'!B69</f>
        <v xml:space="preserve">7Г 0 00 00000 </v>
      </c>
      <c r="F921" s="97"/>
      <c r="G921" s="187">
        <f t="shared" si="77"/>
        <v>4475</v>
      </c>
      <c r="H921" s="187">
        <f t="shared" si="77"/>
        <v>4475</v>
      </c>
      <c r="I921" s="187">
        <f t="shared" si="74"/>
        <v>0</v>
      </c>
      <c r="J921" s="189">
        <f t="shared" si="75"/>
        <v>100</v>
      </c>
    </row>
    <row r="922" spans="1:10" ht="25.5">
      <c r="A922" s="28" t="str">
        <f>'МП пр.5'!A70</f>
        <v>Основное мероприятие "Оптимизация системы расселения в Сусуманском городском округе"</v>
      </c>
      <c r="B922" s="19" t="s">
        <v>274</v>
      </c>
      <c r="C922" s="19" t="s">
        <v>68</v>
      </c>
      <c r="D922" s="19" t="s">
        <v>62</v>
      </c>
      <c r="E922" s="102" t="str">
        <f>'МП пр.5'!B70</f>
        <v xml:space="preserve">7Г 0 01 00000 </v>
      </c>
      <c r="F922" s="97"/>
      <c r="G922" s="187">
        <f t="shared" si="77"/>
        <v>4475</v>
      </c>
      <c r="H922" s="187">
        <f t="shared" si="77"/>
        <v>4475</v>
      </c>
      <c r="I922" s="187">
        <f t="shared" si="74"/>
        <v>0</v>
      </c>
      <c r="J922" s="189">
        <f t="shared" si="75"/>
        <v>100</v>
      </c>
    </row>
    <row r="923" spans="1:10">
      <c r="A923" s="16" t="str">
        <f>'МП пр.5'!A71</f>
        <v xml:space="preserve">Оптимизация жилищного фонда в виде расселения </v>
      </c>
      <c r="B923" s="19" t="s">
        <v>274</v>
      </c>
      <c r="C923" s="19" t="s">
        <v>68</v>
      </c>
      <c r="D923" s="19" t="s">
        <v>62</v>
      </c>
      <c r="E923" s="102" t="str">
        <f>'МП пр.5'!B71</f>
        <v xml:space="preserve">7Г 0 01 96610 </v>
      </c>
      <c r="F923" s="97"/>
      <c r="G923" s="59">
        <f t="shared" si="77"/>
        <v>4475</v>
      </c>
      <c r="H923" s="59">
        <f t="shared" si="77"/>
        <v>4475</v>
      </c>
      <c r="I923" s="187">
        <f t="shared" si="74"/>
        <v>0</v>
      </c>
      <c r="J923" s="189">
        <f t="shared" si="75"/>
        <v>100</v>
      </c>
    </row>
    <row r="924" spans="1:10" ht="25.5">
      <c r="A924" s="16" t="s">
        <v>331</v>
      </c>
      <c r="B924" s="19" t="s">
        <v>274</v>
      </c>
      <c r="C924" s="19" t="s">
        <v>68</v>
      </c>
      <c r="D924" s="19" t="s">
        <v>62</v>
      </c>
      <c r="E924" s="102" t="s">
        <v>326</v>
      </c>
      <c r="F924" s="97" t="s">
        <v>92</v>
      </c>
      <c r="G924" s="59">
        <f t="shared" si="77"/>
        <v>4475</v>
      </c>
      <c r="H924" s="59">
        <f t="shared" si="77"/>
        <v>4475</v>
      </c>
      <c r="I924" s="187">
        <f t="shared" si="74"/>
        <v>0</v>
      </c>
      <c r="J924" s="189">
        <f t="shared" si="75"/>
        <v>100</v>
      </c>
    </row>
    <row r="925" spans="1:10" ht="25.5">
      <c r="A925" s="16" t="s">
        <v>556</v>
      </c>
      <c r="B925" s="19" t="s">
        <v>274</v>
      </c>
      <c r="C925" s="19" t="s">
        <v>68</v>
      </c>
      <c r="D925" s="19" t="s">
        <v>62</v>
      </c>
      <c r="E925" s="102" t="s">
        <v>326</v>
      </c>
      <c r="F925" s="97" t="s">
        <v>89</v>
      </c>
      <c r="G925" s="59">
        <f>'МП пр.5'!G76</f>
        <v>4475</v>
      </c>
      <c r="H925" s="59">
        <f>'МП пр.5'!H76</f>
        <v>4475</v>
      </c>
      <c r="I925" s="187">
        <f t="shared" si="74"/>
        <v>0</v>
      </c>
      <c r="J925" s="189">
        <f t="shared" si="75"/>
        <v>100</v>
      </c>
    </row>
    <row r="926" spans="1:10">
      <c r="A926" s="29" t="s">
        <v>168</v>
      </c>
      <c r="B926" s="19" t="s">
        <v>274</v>
      </c>
      <c r="C926" s="19" t="s">
        <v>68</v>
      </c>
      <c r="D926" s="19" t="s">
        <v>62</v>
      </c>
      <c r="E926" s="97" t="s">
        <v>436</v>
      </c>
      <c r="F926" s="97"/>
      <c r="G926" s="187">
        <f>G927+G930</f>
        <v>12095.7</v>
      </c>
      <c r="H926" s="187">
        <f>H927+H930</f>
        <v>10308.4</v>
      </c>
      <c r="I926" s="187">
        <f t="shared" si="74"/>
        <v>1787.3000000000011</v>
      </c>
      <c r="J926" s="189">
        <f t="shared" si="75"/>
        <v>85.223674528964835</v>
      </c>
    </row>
    <row r="927" spans="1:10">
      <c r="A927" s="16" t="s">
        <v>199</v>
      </c>
      <c r="B927" s="19" t="s">
        <v>274</v>
      </c>
      <c r="C927" s="19" t="s">
        <v>68</v>
      </c>
      <c r="D927" s="19" t="s">
        <v>62</v>
      </c>
      <c r="E927" s="97" t="s">
        <v>437</v>
      </c>
      <c r="F927" s="97"/>
      <c r="G927" s="187">
        <f>G928</f>
        <v>4864.3999999999996</v>
      </c>
      <c r="H927" s="187">
        <f>H928</f>
        <v>4080.1</v>
      </c>
      <c r="I927" s="187">
        <f t="shared" si="74"/>
        <v>784.29999999999973</v>
      </c>
      <c r="J927" s="189">
        <f t="shared" si="75"/>
        <v>83.876737110435002</v>
      </c>
    </row>
    <row r="928" spans="1:10" ht="25.5">
      <c r="A928" s="16" t="s">
        <v>331</v>
      </c>
      <c r="B928" s="19" t="s">
        <v>274</v>
      </c>
      <c r="C928" s="19" t="s">
        <v>68</v>
      </c>
      <c r="D928" s="19" t="s">
        <v>62</v>
      </c>
      <c r="E928" s="97" t="s">
        <v>437</v>
      </c>
      <c r="F928" s="97" t="s">
        <v>92</v>
      </c>
      <c r="G928" s="187">
        <f>G929</f>
        <v>4864.3999999999996</v>
      </c>
      <c r="H928" s="187">
        <f>H929</f>
        <v>4080.1</v>
      </c>
      <c r="I928" s="187">
        <f t="shared" si="74"/>
        <v>784.29999999999973</v>
      </c>
      <c r="J928" s="189">
        <f t="shared" si="75"/>
        <v>83.876737110435002</v>
      </c>
    </row>
    <row r="929" spans="1:10" ht="25.5">
      <c r="A929" s="16" t="s">
        <v>556</v>
      </c>
      <c r="B929" s="19" t="s">
        <v>274</v>
      </c>
      <c r="C929" s="19" t="s">
        <v>68</v>
      </c>
      <c r="D929" s="19" t="s">
        <v>62</v>
      </c>
      <c r="E929" s="97" t="s">
        <v>437</v>
      </c>
      <c r="F929" s="97" t="s">
        <v>89</v>
      </c>
      <c r="G929" s="187">
        <f>5415.7-551.3</f>
        <v>4864.3999999999996</v>
      </c>
      <c r="H929" s="187">
        <v>4080.1</v>
      </c>
      <c r="I929" s="187">
        <f t="shared" si="74"/>
        <v>784.29999999999973</v>
      </c>
      <c r="J929" s="189">
        <f t="shared" si="75"/>
        <v>83.876737110435002</v>
      </c>
    </row>
    <row r="930" spans="1:10">
      <c r="A930" s="16" t="s">
        <v>203</v>
      </c>
      <c r="B930" s="19" t="s">
        <v>274</v>
      </c>
      <c r="C930" s="19" t="s">
        <v>68</v>
      </c>
      <c r="D930" s="19" t="s">
        <v>62</v>
      </c>
      <c r="E930" s="97" t="s">
        <v>508</v>
      </c>
      <c r="F930" s="97"/>
      <c r="G930" s="187">
        <f>G933+G931</f>
        <v>7231.3</v>
      </c>
      <c r="H930" s="187">
        <f>H933+H931</f>
        <v>6228.3</v>
      </c>
      <c r="I930" s="187">
        <f t="shared" si="74"/>
        <v>1003</v>
      </c>
      <c r="J930" s="189">
        <f t="shared" si="75"/>
        <v>86.129741540248645</v>
      </c>
    </row>
    <row r="931" spans="1:10" ht="25.5">
      <c r="A931" s="16" t="s">
        <v>331</v>
      </c>
      <c r="B931" s="19" t="s">
        <v>274</v>
      </c>
      <c r="C931" s="19" t="s">
        <v>68</v>
      </c>
      <c r="D931" s="19" t="s">
        <v>62</v>
      </c>
      <c r="E931" s="97" t="s">
        <v>508</v>
      </c>
      <c r="F931" s="97" t="s">
        <v>92</v>
      </c>
      <c r="G931" s="187">
        <f>G932</f>
        <v>350</v>
      </c>
      <c r="H931" s="187">
        <f>H932</f>
        <v>247</v>
      </c>
      <c r="I931" s="187">
        <f t="shared" si="74"/>
        <v>103</v>
      </c>
      <c r="J931" s="189">
        <f t="shared" si="75"/>
        <v>70.571428571428569</v>
      </c>
    </row>
    <row r="932" spans="1:10" ht="25.5">
      <c r="A932" s="16" t="s">
        <v>556</v>
      </c>
      <c r="B932" s="19" t="s">
        <v>274</v>
      </c>
      <c r="C932" s="19" t="s">
        <v>68</v>
      </c>
      <c r="D932" s="19" t="s">
        <v>62</v>
      </c>
      <c r="E932" s="97" t="s">
        <v>508</v>
      </c>
      <c r="F932" s="97" t="s">
        <v>89</v>
      </c>
      <c r="G932" s="187">
        <f>50+300</f>
        <v>350</v>
      </c>
      <c r="H932" s="187">
        <v>247</v>
      </c>
      <c r="I932" s="187">
        <f t="shared" si="74"/>
        <v>103</v>
      </c>
      <c r="J932" s="189">
        <f t="shared" si="75"/>
        <v>70.571428571428569</v>
      </c>
    </row>
    <row r="933" spans="1:10">
      <c r="A933" s="16" t="s">
        <v>108</v>
      </c>
      <c r="B933" s="19" t="s">
        <v>274</v>
      </c>
      <c r="C933" s="19" t="s">
        <v>68</v>
      </c>
      <c r="D933" s="19" t="s">
        <v>62</v>
      </c>
      <c r="E933" s="97" t="s">
        <v>508</v>
      </c>
      <c r="F933" s="97" t="s">
        <v>109</v>
      </c>
      <c r="G933" s="187">
        <f>G934</f>
        <v>6881.3</v>
      </c>
      <c r="H933" s="187">
        <f>H934</f>
        <v>5981.3</v>
      </c>
      <c r="I933" s="187">
        <f t="shared" si="74"/>
        <v>900</v>
      </c>
      <c r="J933" s="189">
        <f t="shared" si="75"/>
        <v>86.921075959484398</v>
      </c>
    </row>
    <row r="934" spans="1:10">
      <c r="A934" s="16" t="s">
        <v>111</v>
      </c>
      <c r="B934" s="19" t="s">
        <v>274</v>
      </c>
      <c r="C934" s="19" t="s">
        <v>68</v>
      </c>
      <c r="D934" s="19" t="s">
        <v>62</v>
      </c>
      <c r="E934" s="97" t="s">
        <v>508</v>
      </c>
      <c r="F934" s="97" t="s">
        <v>112</v>
      </c>
      <c r="G934" s="187">
        <f>6327+554.3</f>
        <v>6881.3</v>
      </c>
      <c r="H934" s="187">
        <v>5981.3</v>
      </c>
      <c r="I934" s="187">
        <f t="shared" si="74"/>
        <v>900</v>
      </c>
      <c r="J934" s="189">
        <f t="shared" si="75"/>
        <v>86.921075959484398</v>
      </c>
    </row>
    <row r="935" spans="1:10">
      <c r="A935" s="15" t="s">
        <v>170</v>
      </c>
      <c r="B935" s="35" t="s">
        <v>274</v>
      </c>
      <c r="C935" s="35" t="s">
        <v>68</v>
      </c>
      <c r="D935" s="35" t="s">
        <v>63</v>
      </c>
      <c r="E935" s="103"/>
      <c r="F935" s="100"/>
      <c r="G935" s="185">
        <f>G937+G950+G942</f>
        <v>25104.400000000001</v>
      </c>
      <c r="H935" s="185">
        <f>H937+H950+H942</f>
        <v>24687.1</v>
      </c>
      <c r="I935" s="187">
        <f t="shared" si="74"/>
        <v>417.30000000000291</v>
      </c>
      <c r="J935" s="189">
        <f t="shared" si="75"/>
        <v>98.337741591115488</v>
      </c>
    </row>
    <row r="936" spans="1:10" s="58" customFormat="1">
      <c r="A936" s="16" t="s">
        <v>430</v>
      </c>
      <c r="B936" s="19" t="s">
        <v>274</v>
      </c>
      <c r="C936" s="19" t="s">
        <v>68</v>
      </c>
      <c r="D936" s="19" t="s">
        <v>63</v>
      </c>
      <c r="E936" s="102" t="s">
        <v>500</v>
      </c>
      <c r="F936" s="97"/>
      <c r="G936" s="187">
        <f>G937+G942</f>
        <v>21166.799999999999</v>
      </c>
      <c r="H936" s="187">
        <f>H937+H942</f>
        <v>20881</v>
      </c>
      <c r="I936" s="187">
        <f t="shared" si="74"/>
        <v>285.79999999999927</v>
      </c>
      <c r="J936" s="189">
        <f t="shared" si="75"/>
        <v>98.649772284899001</v>
      </c>
    </row>
    <row r="937" spans="1:10" ht="38.25">
      <c r="A937" s="16" t="str">
        <f>'МП пр.5'!A632</f>
        <v>Муниципальная программа "Финансовая поддержка организациям коммунального комплекса Сусуманского городского округа на 2018- 2022 годы"</v>
      </c>
      <c r="B937" s="19" t="s">
        <v>274</v>
      </c>
      <c r="C937" s="19" t="s">
        <v>68</v>
      </c>
      <c r="D937" s="19" t="s">
        <v>63</v>
      </c>
      <c r="E937" s="102" t="str">
        <f>'МП пр.5'!B632</f>
        <v>7Я 0 00 00000</v>
      </c>
      <c r="F937" s="97"/>
      <c r="G937" s="187">
        <f t="shared" ref="G937:H940" si="78">G938</f>
        <v>800</v>
      </c>
      <c r="H937" s="187">
        <f t="shared" si="78"/>
        <v>700</v>
      </c>
      <c r="I937" s="187">
        <f t="shared" si="74"/>
        <v>100</v>
      </c>
      <c r="J937" s="189">
        <f t="shared" si="75"/>
        <v>87.5</v>
      </c>
    </row>
    <row r="938" spans="1:10" ht="25.5">
      <c r="A938" s="16" t="str">
        <f>'МП пр.5'!A633</f>
        <v>Основное мероприятие  "Финансовая поддержка организациям коммунального комплекса"</v>
      </c>
      <c r="B938" s="19" t="s">
        <v>274</v>
      </c>
      <c r="C938" s="19" t="s">
        <v>68</v>
      </c>
      <c r="D938" s="19" t="s">
        <v>63</v>
      </c>
      <c r="E938" s="102" t="str">
        <f>'МП пр.5'!B633</f>
        <v>7Я 0 01 00000</v>
      </c>
      <c r="F938" s="97"/>
      <c r="G938" s="187">
        <f t="shared" si="78"/>
        <v>800</v>
      </c>
      <c r="H938" s="187">
        <f t="shared" si="78"/>
        <v>700</v>
      </c>
      <c r="I938" s="187">
        <f t="shared" si="74"/>
        <v>100</v>
      </c>
      <c r="J938" s="189">
        <f t="shared" si="75"/>
        <v>87.5</v>
      </c>
    </row>
    <row r="939" spans="1:10" ht="38.25">
      <c r="A939" s="16" t="str">
        <f>'МП пр.5'!A634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939" s="19" t="s">
        <v>274</v>
      </c>
      <c r="C939" s="19" t="s">
        <v>68</v>
      </c>
      <c r="D939" s="19" t="s">
        <v>63</v>
      </c>
      <c r="E939" s="102" t="str">
        <f>'МП пр.5'!B634</f>
        <v>7Я 0 01 98700</v>
      </c>
      <c r="F939" s="97"/>
      <c r="G939" s="187">
        <f t="shared" si="78"/>
        <v>800</v>
      </c>
      <c r="H939" s="187">
        <f t="shared" si="78"/>
        <v>700</v>
      </c>
      <c r="I939" s="187">
        <f t="shared" si="74"/>
        <v>100</v>
      </c>
      <c r="J939" s="189">
        <f t="shared" si="75"/>
        <v>87.5</v>
      </c>
    </row>
    <row r="940" spans="1:10">
      <c r="A940" s="16" t="s">
        <v>108</v>
      </c>
      <c r="B940" s="19" t="s">
        <v>274</v>
      </c>
      <c r="C940" s="19" t="s">
        <v>68</v>
      </c>
      <c r="D940" s="19" t="s">
        <v>63</v>
      </c>
      <c r="E940" s="102" t="s">
        <v>260</v>
      </c>
      <c r="F940" s="97" t="s">
        <v>109</v>
      </c>
      <c r="G940" s="187">
        <f t="shared" si="78"/>
        <v>800</v>
      </c>
      <c r="H940" s="187">
        <f t="shared" si="78"/>
        <v>700</v>
      </c>
      <c r="I940" s="187">
        <f t="shared" si="74"/>
        <v>100</v>
      </c>
      <c r="J940" s="189">
        <f t="shared" si="75"/>
        <v>87.5</v>
      </c>
    </row>
    <row r="941" spans="1:10" ht="38.25">
      <c r="A941" s="16" t="s">
        <v>133</v>
      </c>
      <c r="B941" s="19" t="s">
        <v>274</v>
      </c>
      <c r="C941" s="19" t="s">
        <v>68</v>
      </c>
      <c r="D941" s="19" t="s">
        <v>63</v>
      </c>
      <c r="E941" s="102" t="s">
        <v>260</v>
      </c>
      <c r="F941" s="97" t="s">
        <v>110</v>
      </c>
      <c r="G941" s="187">
        <f>'МП пр.5'!G639</f>
        <v>800</v>
      </c>
      <c r="H941" s="187">
        <f>'МП пр.5'!H639</f>
        <v>700</v>
      </c>
      <c r="I941" s="187">
        <f t="shared" si="74"/>
        <v>100</v>
      </c>
      <c r="J941" s="189">
        <f t="shared" si="75"/>
        <v>87.5</v>
      </c>
    </row>
    <row r="942" spans="1:10" ht="38.25">
      <c r="A942" s="16" t="str">
        <f>'МП пр.5'!A693</f>
        <v>Муниципальная программа "Комплексное развитие систем коммунальной инфраструктуры Сусуманского городского округа на 2018- 2022 годы"</v>
      </c>
      <c r="B942" s="19" t="s">
        <v>509</v>
      </c>
      <c r="C942" s="19" t="s">
        <v>68</v>
      </c>
      <c r="D942" s="19" t="s">
        <v>63</v>
      </c>
      <c r="E942" s="102" t="str">
        <f>'МП пр.5'!B693</f>
        <v>7N 0 00 00000</v>
      </c>
      <c r="F942" s="97"/>
      <c r="G942" s="187">
        <f>G943</f>
        <v>20366.8</v>
      </c>
      <c r="H942" s="187">
        <f>H943</f>
        <v>20181</v>
      </c>
      <c r="I942" s="187">
        <f t="shared" si="74"/>
        <v>185.79999999999927</v>
      </c>
      <c r="J942" s="189">
        <f t="shared" si="75"/>
        <v>99.087731013217592</v>
      </c>
    </row>
    <row r="943" spans="1:10" ht="38.25">
      <c r="A943" s="16" t="str">
        <f>'МП пр.5'!A694</f>
        <v>Основное мероприятие "Проведение реконструкции, ремонта или замены оборудования на объектах коммунальной инфраструктуры"</v>
      </c>
      <c r="B943" s="19" t="s">
        <v>509</v>
      </c>
      <c r="C943" s="19" t="s">
        <v>68</v>
      </c>
      <c r="D943" s="19" t="s">
        <v>63</v>
      </c>
      <c r="E943" s="102" t="str">
        <f>'МП пр.5'!B694</f>
        <v>7N 0 01 00000</v>
      </c>
      <c r="F943" s="97"/>
      <c r="G943" s="187">
        <f>G944+G947</f>
        <v>20366.8</v>
      </c>
      <c r="H943" s="187">
        <f>H944+H947</f>
        <v>20181</v>
      </c>
      <c r="I943" s="187">
        <f t="shared" si="74"/>
        <v>185.79999999999927</v>
      </c>
      <c r="J943" s="189">
        <f t="shared" si="75"/>
        <v>99.087731013217592</v>
      </c>
    </row>
    <row r="944" spans="1:10" ht="51">
      <c r="A944" s="16" t="str">
        <f>'МП пр.5'!A695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944" s="19" t="s">
        <v>509</v>
      </c>
      <c r="C944" s="19" t="s">
        <v>68</v>
      </c>
      <c r="D944" s="19" t="s">
        <v>63</v>
      </c>
      <c r="E944" s="102" t="str">
        <f>'МП пр.5'!B695</f>
        <v>7N 0 01  98200</v>
      </c>
      <c r="F944" s="97"/>
      <c r="G944" s="187">
        <f>G945</f>
        <v>300</v>
      </c>
      <c r="H944" s="187">
        <f>H945</f>
        <v>298.5</v>
      </c>
      <c r="I944" s="187">
        <f t="shared" si="74"/>
        <v>1.5</v>
      </c>
      <c r="J944" s="189">
        <f t="shared" si="75"/>
        <v>99.5</v>
      </c>
    </row>
    <row r="945" spans="1:10" ht="25.5">
      <c r="A945" s="16" t="s">
        <v>331</v>
      </c>
      <c r="B945" s="19" t="s">
        <v>509</v>
      </c>
      <c r="C945" s="19" t="s">
        <v>68</v>
      </c>
      <c r="D945" s="19" t="s">
        <v>63</v>
      </c>
      <c r="E945" s="102" t="str">
        <f>'МП пр.5'!B696</f>
        <v>7N 0 01  98200</v>
      </c>
      <c r="F945" s="97" t="s">
        <v>92</v>
      </c>
      <c r="G945" s="187">
        <f>G946</f>
        <v>300</v>
      </c>
      <c r="H945" s="187">
        <f>H946</f>
        <v>298.5</v>
      </c>
      <c r="I945" s="187">
        <f t="shared" si="74"/>
        <v>1.5</v>
      </c>
      <c r="J945" s="189">
        <f t="shared" si="75"/>
        <v>99.5</v>
      </c>
    </row>
    <row r="946" spans="1:10" ht="25.5">
      <c r="A946" s="16" t="s">
        <v>556</v>
      </c>
      <c r="B946" s="19" t="s">
        <v>509</v>
      </c>
      <c r="C946" s="19" t="s">
        <v>68</v>
      </c>
      <c r="D946" s="19" t="s">
        <v>63</v>
      </c>
      <c r="E946" s="102" t="str">
        <f>'МП пр.5'!B697</f>
        <v>7N 0 01  98200</v>
      </c>
      <c r="F946" s="97" t="s">
        <v>89</v>
      </c>
      <c r="G946" s="187">
        <f>'МП пр.5'!G700</f>
        <v>300</v>
      </c>
      <c r="H946" s="187">
        <f>'МП пр.5'!H700</f>
        <v>298.5</v>
      </c>
      <c r="I946" s="187">
        <f t="shared" si="74"/>
        <v>1.5</v>
      </c>
      <c r="J946" s="189">
        <f t="shared" si="75"/>
        <v>99.5</v>
      </c>
    </row>
    <row r="947" spans="1:10" ht="38.25">
      <c r="A947" s="16" t="str">
        <f>'МП пр.5'!A701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947" s="19" t="s">
        <v>509</v>
      </c>
      <c r="C947" s="19" t="s">
        <v>68</v>
      </c>
      <c r="D947" s="19" t="s">
        <v>63</v>
      </c>
      <c r="E947" s="102" t="str">
        <f>'МП пр.5'!B701</f>
        <v>7N 0 01  98100</v>
      </c>
      <c r="F947" s="97"/>
      <c r="G947" s="187">
        <f>G948</f>
        <v>20066.8</v>
      </c>
      <c r="H947" s="187">
        <f>H948</f>
        <v>19882.5</v>
      </c>
      <c r="I947" s="187">
        <f t="shared" si="74"/>
        <v>184.29999999999927</v>
      </c>
      <c r="J947" s="189">
        <f t="shared" si="75"/>
        <v>99.081567564335131</v>
      </c>
    </row>
    <row r="948" spans="1:10" ht="25.5">
      <c r="A948" s="16" t="s">
        <v>331</v>
      </c>
      <c r="B948" s="19" t="s">
        <v>509</v>
      </c>
      <c r="C948" s="19" t="s">
        <v>68</v>
      </c>
      <c r="D948" s="19" t="s">
        <v>63</v>
      </c>
      <c r="E948" s="102" t="str">
        <f>'МП пр.5'!B702</f>
        <v>7N 0 01  98100</v>
      </c>
      <c r="F948" s="97" t="s">
        <v>92</v>
      </c>
      <c r="G948" s="187">
        <f>G949</f>
        <v>20066.8</v>
      </c>
      <c r="H948" s="187">
        <f>H949</f>
        <v>19882.5</v>
      </c>
      <c r="I948" s="187">
        <f t="shared" si="74"/>
        <v>184.29999999999927</v>
      </c>
      <c r="J948" s="189">
        <f t="shared" si="75"/>
        <v>99.081567564335131</v>
      </c>
    </row>
    <row r="949" spans="1:10" ht="25.5">
      <c r="A949" s="16" t="s">
        <v>556</v>
      </c>
      <c r="B949" s="19" t="s">
        <v>509</v>
      </c>
      <c r="C949" s="19" t="s">
        <v>68</v>
      </c>
      <c r="D949" s="19" t="s">
        <v>63</v>
      </c>
      <c r="E949" s="102" t="str">
        <f>'МП пр.5'!B703</f>
        <v>7N 0 01  98100</v>
      </c>
      <c r="F949" s="97" t="s">
        <v>89</v>
      </c>
      <c r="G949" s="187">
        <f>'МП пр.5'!G706</f>
        <v>20066.8</v>
      </c>
      <c r="H949" s="187">
        <f>'МП пр.5'!H706</f>
        <v>19882.5</v>
      </c>
      <c r="I949" s="187">
        <f t="shared" si="74"/>
        <v>184.29999999999927</v>
      </c>
      <c r="J949" s="189">
        <f t="shared" si="75"/>
        <v>99.081567564335131</v>
      </c>
    </row>
    <row r="950" spans="1:10">
      <c r="A950" s="16" t="s">
        <v>171</v>
      </c>
      <c r="B950" s="19" t="s">
        <v>274</v>
      </c>
      <c r="C950" s="19" t="s">
        <v>68</v>
      </c>
      <c r="D950" s="19" t="s">
        <v>63</v>
      </c>
      <c r="E950" s="97" t="s">
        <v>510</v>
      </c>
      <c r="F950" s="97"/>
      <c r="G950" s="187">
        <f>G951+G954</f>
        <v>3937.6</v>
      </c>
      <c r="H950" s="187">
        <f>H951+H954</f>
        <v>3806.1</v>
      </c>
      <c r="I950" s="187">
        <f t="shared" si="74"/>
        <v>131.5</v>
      </c>
      <c r="J950" s="189">
        <f t="shared" si="75"/>
        <v>96.660402275497773</v>
      </c>
    </row>
    <row r="951" spans="1:10" ht="38.25">
      <c r="A951" s="16" t="s">
        <v>524</v>
      </c>
      <c r="B951" s="19" t="s">
        <v>274</v>
      </c>
      <c r="C951" s="19" t="s">
        <v>68</v>
      </c>
      <c r="D951" s="19" t="s">
        <v>63</v>
      </c>
      <c r="E951" s="97" t="s">
        <v>511</v>
      </c>
      <c r="F951" s="97"/>
      <c r="G951" s="187">
        <f>G952</f>
        <v>2177</v>
      </c>
      <c r="H951" s="187">
        <f>H952</f>
        <v>2114.5</v>
      </c>
      <c r="I951" s="187">
        <f t="shared" si="74"/>
        <v>62.5</v>
      </c>
      <c r="J951" s="189">
        <f t="shared" si="75"/>
        <v>97.129076711070283</v>
      </c>
    </row>
    <row r="952" spans="1:10">
      <c r="A952" s="16" t="s">
        <v>108</v>
      </c>
      <c r="B952" s="19" t="s">
        <v>274</v>
      </c>
      <c r="C952" s="19" t="s">
        <v>68</v>
      </c>
      <c r="D952" s="19" t="s">
        <v>63</v>
      </c>
      <c r="E952" s="97" t="s">
        <v>511</v>
      </c>
      <c r="F952" s="97" t="s">
        <v>109</v>
      </c>
      <c r="G952" s="187">
        <f>G953</f>
        <v>2177</v>
      </c>
      <c r="H952" s="187">
        <f>H953</f>
        <v>2114.5</v>
      </c>
      <c r="I952" s="187">
        <f t="shared" si="74"/>
        <v>62.5</v>
      </c>
      <c r="J952" s="189">
        <f t="shared" si="75"/>
        <v>97.129076711070283</v>
      </c>
    </row>
    <row r="953" spans="1:10" ht="38.25">
      <c r="A953" s="16" t="s">
        <v>133</v>
      </c>
      <c r="B953" s="19" t="s">
        <v>274</v>
      </c>
      <c r="C953" s="19" t="s">
        <v>68</v>
      </c>
      <c r="D953" s="19" t="s">
        <v>63</v>
      </c>
      <c r="E953" s="97" t="s">
        <v>511</v>
      </c>
      <c r="F953" s="97" t="s">
        <v>110</v>
      </c>
      <c r="G953" s="187">
        <f>2593.9-416.9</f>
        <v>2177</v>
      </c>
      <c r="H953" s="187">
        <v>2114.5</v>
      </c>
      <c r="I953" s="187">
        <f t="shared" si="74"/>
        <v>62.5</v>
      </c>
      <c r="J953" s="189">
        <f t="shared" si="75"/>
        <v>97.129076711070283</v>
      </c>
    </row>
    <row r="954" spans="1:10">
      <c r="A954" s="16" t="s">
        <v>659</v>
      </c>
      <c r="B954" s="19" t="s">
        <v>274</v>
      </c>
      <c r="C954" s="19" t="s">
        <v>68</v>
      </c>
      <c r="D954" s="19" t="s">
        <v>63</v>
      </c>
      <c r="E954" s="97" t="s">
        <v>660</v>
      </c>
      <c r="F954" s="97"/>
      <c r="G954" s="187">
        <f>G955</f>
        <v>1760.6</v>
      </c>
      <c r="H954" s="187">
        <f>H955</f>
        <v>1691.6</v>
      </c>
      <c r="I954" s="187">
        <f t="shared" si="74"/>
        <v>69</v>
      </c>
      <c r="J954" s="189">
        <f t="shared" si="75"/>
        <v>96.080881517664423</v>
      </c>
    </row>
    <row r="955" spans="1:10" ht="25.5">
      <c r="A955" s="16" t="s">
        <v>331</v>
      </c>
      <c r="B955" s="19" t="s">
        <v>274</v>
      </c>
      <c r="C955" s="19" t="s">
        <v>68</v>
      </c>
      <c r="D955" s="19" t="s">
        <v>63</v>
      </c>
      <c r="E955" s="97" t="s">
        <v>660</v>
      </c>
      <c r="F955" s="97" t="s">
        <v>92</v>
      </c>
      <c r="G955" s="187">
        <f>G956</f>
        <v>1760.6</v>
      </c>
      <c r="H955" s="187">
        <f>H956</f>
        <v>1691.6</v>
      </c>
      <c r="I955" s="187">
        <f t="shared" si="74"/>
        <v>69</v>
      </c>
      <c r="J955" s="189">
        <f t="shared" si="75"/>
        <v>96.080881517664423</v>
      </c>
    </row>
    <row r="956" spans="1:10" ht="25.5">
      <c r="A956" s="16" t="s">
        <v>562</v>
      </c>
      <c r="B956" s="19" t="s">
        <v>274</v>
      </c>
      <c r="C956" s="19" t="s">
        <v>68</v>
      </c>
      <c r="D956" s="19" t="s">
        <v>63</v>
      </c>
      <c r="E956" s="97" t="s">
        <v>660</v>
      </c>
      <c r="F956" s="97" t="s">
        <v>89</v>
      </c>
      <c r="G956" s="187">
        <v>1760.6</v>
      </c>
      <c r="H956" s="187">
        <v>1691.6</v>
      </c>
      <c r="I956" s="187">
        <f t="shared" si="74"/>
        <v>69</v>
      </c>
      <c r="J956" s="189">
        <f t="shared" si="75"/>
        <v>96.080881517664423</v>
      </c>
    </row>
    <row r="957" spans="1:10">
      <c r="A957" s="15" t="s">
        <v>172</v>
      </c>
      <c r="B957" s="35" t="s">
        <v>274</v>
      </c>
      <c r="C957" s="35" t="s">
        <v>68</v>
      </c>
      <c r="D957" s="35" t="s">
        <v>66</v>
      </c>
      <c r="E957" s="100"/>
      <c r="F957" s="100"/>
      <c r="G957" s="185">
        <f>G959+G964+G969+G976+G983</f>
        <v>5068.7</v>
      </c>
      <c r="H957" s="185">
        <f>H959+H964+H969+H976+H983</f>
        <v>3993.6</v>
      </c>
      <c r="I957" s="187">
        <f t="shared" si="74"/>
        <v>1075.0999999999999</v>
      </c>
      <c r="J957" s="189">
        <f t="shared" si="75"/>
        <v>78.78943318799692</v>
      </c>
    </row>
    <row r="958" spans="1:10">
      <c r="A958" s="16" t="s">
        <v>430</v>
      </c>
      <c r="B958" s="19" t="s">
        <v>274</v>
      </c>
      <c r="C958" s="19" t="s">
        <v>68</v>
      </c>
      <c r="D958" s="19" t="s">
        <v>66</v>
      </c>
      <c r="E958" s="102" t="s">
        <v>500</v>
      </c>
      <c r="F958" s="97"/>
      <c r="G958" s="187">
        <f>G959+G964</f>
        <v>197</v>
      </c>
      <c r="H958" s="187">
        <f>H959+H964</f>
        <v>197</v>
      </c>
      <c r="I958" s="187">
        <f t="shared" si="74"/>
        <v>0</v>
      </c>
      <c r="J958" s="189">
        <f t="shared" si="75"/>
        <v>100</v>
      </c>
    </row>
    <row r="959" spans="1:10" ht="38.25">
      <c r="A959" s="16" t="str">
        <f>'МП пр.5'!A178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959" s="19" t="s">
        <v>274</v>
      </c>
      <c r="C959" s="19" t="s">
        <v>68</v>
      </c>
      <c r="D959" s="19" t="s">
        <v>66</v>
      </c>
      <c r="E959" s="102" t="str">
        <f>'МП пр.5'!B178</f>
        <v xml:space="preserve">7К 0 00 00000 </v>
      </c>
      <c r="F959" s="97"/>
      <c r="G959" s="187">
        <f t="shared" ref="G959:H962" si="79">G960</f>
        <v>55</v>
      </c>
      <c r="H959" s="187">
        <f t="shared" si="79"/>
        <v>55</v>
      </c>
      <c r="I959" s="187">
        <f t="shared" si="74"/>
        <v>0</v>
      </c>
      <c r="J959" s="189">
        <f t="shared" si="75"/>
        <v>100</v>
      </c>
    </row>
    <row r="960" spans="1:10" ht="38.25">
      <c r="A960" s="29" t="str">
        <f>'МП пр.5'!A179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960" s="19" t="s">
        <v>274</v>
      </c>
      <c r="C960" s="19" t="s">
        <v>68</v>
      </c>
      <c r="D960" s="19" t="s">
        <v>66</v>
      </c>
      <c r="E960" s="102" t="str">
        <f>'МП пр.5'!B179</f>
        <v xml:space="preserve">7К 0 01 00000 </v>
      </c>
      <c r="F960" s="97"/>
      <c r="G960" s="187">
        <f t="shared" si="79"/>
        <v>55</v>
      </c>
      <c r="H960" s="187">
        <f t="shared" si="79"/>
        <v>55</v>
      </c>
      <c r="I960" s="187">
        <f t="shared" si="74"/>
        <v>0</v>
      </c>
      <c r="J960" s="189">
        <f t="shared" si="75"/>
        <v>100</v>
      </c>
    </row>
    <row r="961" spans="1:10" ht="38.25">
      <c r="A961" s="16" t="str">
        <f>'МП пр.5'!A180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961" s="19" t="s">
        <v>274</v>
      </c>
      <c r="C961" s="19" t="s">
        <v>68</v>
      </c>
      <c r="D961" s="19" t="s">
        <v>66</v>
      </c>
      <c r="E961" s="102" t="str">
        <f>'МП пр.5'!B180</f>
        <v>7К 0 01 L5550</v>
      </c>
      <c r="F961" s="97"/>
      <c r="G961" s="187">
        <f t="shared" si="79"/>
        <v>55</v>
      </c>
      <c r="H961" s="187">
        <f t="shared" si="79"/>
        <v>55</v>
      </c>
      <c r="I961" s="187">
        <f t="shared" si="74"/>
        <v>0</v>
      </c>
      <c r="J961" s="189">
        <f t="shared" si="75"/>
        <v>100</v>
      </c>
    </row>
    <row r="962" spans="1:10" ht="25.5">
      <c r="A962" s="16" t="s">
        <v>331</v>
      </c>
      <c r="B962" s="19" t="s">
        <v>274</v>
      </c>
      <c r="C962" s="19" t="s">
        <v>68</v>
      </c>
      <c r="D962" s="19" t="s">
        <v>66</v>
      </c>
      <c r="E962" s="102" t="s">
        <v>515</v>
      </c>
      <c r="F962" s="97" t="s">
        <v>92</v>
      </c>
      <c r="G962" s="187">
        <f t="shared" si="79"/>
        <v>55</v>
      </c>
      <c r="H962" s="187">
        <f t="shared" si="79"/>
        <v>55</v>
      </c>
      <c r="I962" s="187">
        <f t="shared" si="74"/>
        <v>0</v>
      </c>
      <c r="J962" s="189">
        <f t="shared" si="75"/>
        <v>100</v>
      </c>
    </row>
    <row r="963" spans="1:10" ht="25.5">
      <c r="A963" s="16" t="s">
        <v>556</v>
      </c>
      <c r="B963" s="19" t="s">
        <v>274</v>
      </c>
      <c r="C963" s="19" t="s">
        <v>68</v>
      </c>
      <c r="D963" s="19" t="s">
        <v>66</v>
      </c>
      <c r="E963" s="102" t="s">
        <v>515</v>
      </c>
      <c r="F963" s="97" t="s">
        <v>89</v>
      </c>
      <c r="G963" s="187">
        <f>'МП пр.5'!G185</f>
        <v>55</v>
      </c>
      <c r="H963" s="187">
        <f>'МП пр.5'!H185</f>
        <v>55</v>
      </c>
      <c r="I963" s="187">
        <f t="shared" si="74"/>
        <v>0</v>
      </c>
      <c r="J963" s="189">
        <f t="shared" si="75"/>
        <v>100</v>
      </c>
    </row>
    <row r="964" spans="1:10" ht="25.5">
      <c r="A964" s="16" t="str">
        <f>'МП пр.5'!A749</f>
        <v>Муниципальная программа "Благоустройство Сусуманского городского округа на 2018- 2022 годы"</v>
      </c>
      <c r="B964" s="19" t="s">
        <v>274</v>
      </c>
      <c r="C964" s="19" t="s">
        <v>68</v>
      </c>
      <c r="D964" s="19" t="s">
        <v>66</v>
      </c>
      <c r="E964" s="102" t="str">
        <f>'МП пр.5'!B749</f>
        <v>7Z 0 00 00000</v>
      </c>
      <c r="F964" s="97"/>
      <c r="G964" s="187">
        <f t="shared" ref="G964:H967" si="80">G965</f>
        <v>142</v>
      </c>
      <c r="H964" s="187">
        <f t="shared" si="80"/>
        <v>142</v>
      </c>
      <c r="I964" s="187">
        <f t="shared" si="74"/>
        <v>0</v>
      </c>
      <c r="J964" s="189">
        <f t="shared" si="75"/>
        <v>100</v>
      </c>
    </row>
    <row r="965" spans="1:10">
      <c r="A965" s="29" t="str">
        <f>'МП пр.5'!A750</f>
        <v>Основное мероприятие "Обеспечение реализации программы"</v>
      </c>
      <c r="B965" s="19" t="s">
        <v>274</v>
      </c>
      <c r="C965" s="19" t="s">
        <v>68</v>
      </c>
      <c r="D965" s="19" t="s">
        <v>66</v>
      </c>
      <c r="E965" s="102" t="str">
        <f>'МП пр.5'!B750</f>
        <v>7Z 0 01 00000</v>
      </c>
      <c r="F965" s="97"/>
      <c r="G965" s="187">
        <f t="shared" si="80"/>
        <v>142</v>
      </c>
      <c r="H965" s="187">
        <f t="shared" si="80"/>
        <v>142</v>
      </c>
      <c r="I965" s="187">
        <f t="shared" si="74"/>
        <v>0</v>
      </c>
      <c r="J965" s="189">
        <f t="shared" si="75"/>
        <v>100</v>
      </c>
    </row>
    <row r="966" spans="1:10" ht="25.5">
      <c r="A966" s="29" t="str">
        <f>'МП пр.5'!A751</f>
        <v>Мероприятия по благоустройству территории Сусуманского городского округа</v>
      </c>
      <c r="B966" s="19" t="s">
        <v>274</v>
      </c>
      <c r="C966" s="19" t="s">
        <v>68</v>
      </c>
      <c r="D966" s="19" t="s">
        <v>66</v>
      </c>
      <c r="E966" s="102" t="str">
        <f>'МП пр.5'!B751</f>
        <v>7Z 0 01 92010</v>
      </c>
      <c r="F966" s="97"/>
      <c r="G966" s="187">
        <f t="shared" si="80"/>
        <v>142</v>
      </c>
      <c r="H966" s="187">
        <f t="shared" si="80"/>
        <v>142</v>
      </c>
      <c r="I966" s="187">
        <f t="shared" si="74"/>
        <v>0</v>
      </c>
      <c r="J966" s="189">
        <f t="shared" si="75"/>
        <v>100</v>
      </c>
    </row>
    <row r="967" spans="1:10" ht="25.5">
      <c r="A967" s="16" t="s">
        <v>331</v>
      </c>
      <c r="B967" s="19" t="s">
        <v>274</v>
      </c>
      <c r="C967" s="19" t="s">
        <v>68</v>
      </c>
      <c r="D967" s="19" t="s">
        <v>66</v>
      </c>
      <c r="E967" s="102" t="str">
        <f>'МП пр.5'!B752</f>
        <v>7Z 0 01 92010</v>
      </c>
      <c r="F967" s="97" t="s">
        <v>92</v>
      </c>
      <c r="G967" s="187">
        <f t="shared" si="80"/>
        <v>142</v>
      </c>
      <c r="H967" s="187">
        <f t="shared" si="80"/>
        <v>142</v>
      </c>
      <c r="I967" s="187">
        <f t="shared" si="74"/>
        <v>0</v>
      </c>
      <c r="J967" s="189">
        <f t="shared" si="75"/>
        <v>100</v>
      </c>
    </row>
    <row r="968" spans="1:10" ht="25.5">
      <c r="A968" s="16" t="s">
        <v>556</v>
      </c>
      <c r="B968" s="19" t="s">
        <v>274</v>
      </c>
      <c r="C968" s="19" t="s">
        <v>68</v>
      </c>
      <c r="D968" s="19" t="s">
        <v>66</v>
      </c>
      <c r="E968" s="102" t="str">
        <f>'МП пр.5'!B753</f>
        <v>7Z 0 01 92010</v>
      </c>
      <c r="F968" s="97" t="s">
        <v>89</v>
      </c>
      <c r="G968" s="187">
        <f>'МП пр.5'!G756</f>
        <v>142</v>
      </c>
      <c r="H968" s="187">
        <f>'МП пр.5'!H756</f>
        <v>142</v>
      </c>
      <c r="I968" s="187">
        <f t="shared" si="74"/>
        <v>0</v>
      </c>
      <c r="J968" s="189">
        <f t="shared" si="75"/>
        <v>100</v>
      </c>
    </row>
    <row r="969" spans="1:10">
      <c r="A969" s="29" t="s">
        <v>516</v>
      </c>
      <c r="B969" s="19" t="s">
        <v>274</v>
      </c>
      <c r="C969" s="19" t="s">
        <v>68</v>
      </c>
      <c r="D969" s="19" t="s">
        <v>66</v>
      </c>
      <c r="E969" s="97" t="s">
        <v>517</v>
      </c>
      <c r="F969" s="97"/>
      <c r="G969" s="187">
        <f>G970+G973</f>
        <v>3154.7</v>
      </c>
      <c r="H969" s="187">
        <f>H970+H973</f>
        <v>3154.7</v>
      </c>
      <c r="I969" s="187">
        <f t="shared" si="74"/>
        <v>0</v>
      </c>
      <c r="J969" s="189">
        <f t="shared" si="75"/>
        <v>100</v>
      </c>
    </row>
    <row r="970" spans="1:10">
      <c r="A970" s="16" t="s">
        <v>525</v>
      </c>
      <c r="B970" s="19" t="s">
        <v>274</v>
      </c>
      <c r="C970" s="19" t="s">
        <v>68</v>
      </c>
      <c r="D970" s="19" t="s">
        <v>66</v>
      </c>
      <c r="E970" s="97" t="s">
        <v>526</v>
      </c>
      <c r="F970" s="97"/>
      <c r="G970" s="187">
        <f>G971</f>
        <v>2983.2</v>
      </c>
      <c r="H970" s="187">
        <f>H971</f>
        <v>2983.2</v>
      </c>
      <c r="I970" s="187">
        <f t="shared" si="74"/>
        <v>0</v>
      </c>
      <c r="J970" s="189">
        <f t="shared" si="75"/>
        <v>100</v>
      </c>
    </row>
    <row r="971" spans="1:10" ht="25.5">
      <c r="A971" s="16" t="s">
        <v>331</v>
      </c>
      <c r="B971" s="19" t="s">
        <v>274</v>
      </c>
      <c r="C971" s="19" t="s">
        <v>68</v>
      </c>
      <c r="D971" s="19" t="s">
        <v>66</v>
      </c>
      <c r="E971" s="97" t="s">
        <v>526</v>
      </c>
      <c r="F971" s="97" t="s">
        <v>92</v>
      </c>
      <c r="G971" s="187">
        <f>G972</f>
        <v>2983.2</v>
      </c>
      <c r="H971" s="187">
        <f>H972</f>
        <v>2983.2</v>
      </c>
      <c r="I971" s="187">
        <f t="shared" si="74"/>
        <v>0</v>
      </c>
      <c r="J971" s="189">
        <f t="shared" si="75"/>
        <v>100</v>
      </c>
    </row>
    <row r="972" spans="1:10" ht="25.5">
      <c r="A972" s="16" t="s">
        <v>556</v>
      </c>
      <c r="B972" s="19" t="s">
        <v>274</v>
      </c>
      <c r="C972" s="19" t="s">
        <v>68</v>
      </c>
      <c r="D972" s="19" t="s">
        <v>66</v>
      </c>
      <c r="E972" s="97" t="s">
        <v>526</v>
      </c>
      <c r="F972" s="97" t="s">
        <v>89</v>
      </c>
      <c r="G972" s="187">
        <f>2585.2+398</f>
        <v>2983.2</v>
      </c>
      <c r="H972" s="187">
        <v>2983.2</v>
      </c>
      <c r="I972" s="187">
        <f t="shared" si="74"/>
        <v>0</v>
      </c>
      <c r="J972" s="189">
        <f t="shared" si="75"/>
        <v>100</v>
      </c>
    </row>
    <row r="973" spans="1:10">
      <c r="A973" s="28" t="s">
        <v>573</v>
      </c>
      <c r="B973" s="19" t="s">
        <v>274</v>
      </c>
      <c r="C973" s="19" t="s">
        <v>68</v>
      </c>
      <c r="D973" s="19" t="s">
        <v>66</v>
      </c>
      <c r="E973" s="97" t="s">
        <v>574</v>
      </c>
      <c r="F973" s="97"/>
      <c r="G973" s="187">
        <f>G974</f>
        <v>171.5</v>
      </c>
      <c r="H973" s="187">
        <f>H974</f>
        <v>171.5</v>
      </c>
      <c r="I973" s="187">
        <f t="shared" si="74"/>
        <v>0</v>
      </c>
      <c r="J973" s="189">
        <f t="shared" si="75"/>
        <v>100</v>
      </c>
    </row>
    <row r="974" spans="1:10" ht="25.5">
      <c r="A974" s="28" t="s">
        <v>331</v>
      </c>
      <c r="B974" s="19" t="s">
        <v>274</v>
      </c>
      <c r="C974" s="19" t="s">
        <v>68</v>
      </c>
      <c r="D974" s="19" t="s">
        <v>66</v>
      </c>
      <c r="E974" s="97" t="s">
        <v>574</v>
      </c>
      <c r="F974" s="97" t="s">
        <v>92</v>
      </c>
      <c r="G974" s="187">
        <f>G975</f>
        <v>171.5</v>
      </c>
      <c r="H974" s="187">
        <f>H975</f>
        <v>171.5</v>
      </c>
      <c r="I974" s="187">
        <f t="shared" si="74"/>
        <v>0</v>
      </c>
      <c r="J974" s="189">
        <f t="shared" si="75"/>
        <v>100</v>
      </c>
    </row>
    <row r="975" spans="1:10" ht="25.5">
      <c r="A975" s="28" t="s">
        <v>562</v>
      </c>
      <c r="B975" s="19" t="s">
        <v>274</v>
      </c>
      <c r="C975" s="19" t="s">
        <v>68</v>
      </c>
      <c r="D975" s="19" t="s">
        <v>66</v>
      </c>
      <c r="E975" s="97" t="s">
        <v>574</v>
      </c>
      <c r="F975" s="97" t="s">
        <v>89</v>
      </c>
      <c r="G975" s="187">
        <f>156.5+15</f>
        <v>171.5</v>
      </c>
      <c r="H975" s="187">
        <v>171.5</v>
      </c>
      <c r="I975" s="187">
        <f t="shared" ref="I975:I1007" si="81">G975-H975</f>
        <v>0</v>
      </c>
      <c r="J975" s="189">
        <f t="shared" ref="J975:J1007" si="82">H975/G975*100</f>
        <v>100</v>
      </c>
    </row>
    <row r="976" spans="1:10">
      <c r="A976" s="28" t="s">
        <v>518</v>
      </c>
      <c r="B976" s="19" t="s">
        <v>274</v>
      </c>
      <c r="C976" s="19" t="s">
        <v>68</v>
      </c>
      <c r="D976" s="19" t="s">
        <v>66</v>
      </c>
      <c r="E976" s="97" t="s">
        <v>519</v>
      </c>
      <c r="F976" s="97"/>
      <c r="G976" s="187">
        <f>G977+G980</f>
        <v>641.9</v>
      </c>
      <c r="H976" s="187">
        <f>H977+H980</f>
        <v>641.9</v>
      </c>
      <c r="I976" s="187">
        <f t="shared" si="81"/>
        <v>0</v>
      </c>
      <c r="J976" s="189">
        <f t="shared" si="82"/>
        <v>100</v>
      </c>
    </row>
    <row r="977" spans="1:10">
      <c r="A977" s="29" t="s">
        <v>201</v>
      </c>
      <c r="B977" s="19" t="s">
        <v>274</v>
      </c>
      <c r="C977" s="19" t="s">
        <v>68</v>
      </c>
      <c r="D977" s="19" t="s">
        <v>66</v>
      </c>
      <c r="E977" s="97" t="s">
        <v>520</v>
      </c>
      <c r="F977" s="97"/>
      <c r="G977" s="187">
        <f>G978</f>
        <v>150</v>
      </c>
      <c r="H977" s="187">
        <f>H978</f>
        <v>150</v>
      </c>
      <c r="I977" s="187">
        <f t="shared" si="81"/>
        <v>0</v>
      </c>
      <c r="J977" s="189">
        <f t="shared" si="82"/>
        <v>100</v>
      </c>
    </row>
    <row r="978" spans="1:10" ht="25.5">
      <c r="A978" s="16" t="s">
        <v>331</v>
      </c>
      <c r="B978" s="19" t="s">
        <v>274</v>
      </c>
      <c r="C978" s="19" t="s">
        <v>68</v>
      </c>
      <c r="D978" s="19" t="s">
        <v>66</v>
      </c>
      <c r="E978" s="97" t="s">
        <v>520</v>
      </c>
      <c r="F978" s="97" t="s">
        <v>92</v>
      </c>
      <c r="G978" s="187">
        <f>G979</f>
        <v>150</v>
      </c>
      <c r="H978" s="187">
        <f>H979</f>
        <v>150</v>
      </c>
      <c r="I978" s="187">
        <f t="shared" si="81"/>
        <v>0</v>
      </c>
      <c r="J978" s="189">
        <f t="shared" si="82"/>
        <v>100</v>
      </c>
    </row>
    <row r="979" spans="1:10" ht="25.5">
      <c r="A979" s="16" t="s">
        <v>556</v>
      </c>
      <c r="B979" s="19" t="s">
        <v>274</v>
      </c>
      <c r="C979" s="19" t="s">
        <v>68</v>
      </c>
      <c r="D979" s="19" t="s">
        <v>66</v>
      </c>
      <c r="E979" s="97" t="s">
        <v>520</v>
      </c>
      <c r="F979" s="97" t="s">
        <v>89</v>
      </c>
      <c r="G979" s="187">
        <f>200-50</f>
        <v>150</v>
      </c>
      <c r="H979" s="187">
        <v>150</v>
      </c>
      <c r="I979" s="187">
        <f t="shared" si="81"/>
        <v>0</v>
      </c>
      <c r="J979" s="189">
        <f t="shared" si="82"/>
        <v>100</v>
      </c>
    </row>
    <row r="980" spans="1:10" ht="25.5">
      <c r="A980" s="16" t="s">
        <v>658</v>
      </c>
      <c r="B980" s="19" t="s">
        <v>274</v>
      </c>
      <c r="C980" s="19" t="s">
        <v>68</v>
      </c>
      <c r="D980" s="19" t="s">
        <v>66</v>
      </c>
      <c r="E980" s="97" t="s">
        <v>521</v>
      </c>
      <c r="F980" s="97"/>
      <c r="G980" s="187">
        <f>G981</f>
        <v>491.9</v>
      </c>
      <c r="H980" s="187">
        <f>H981</f>
        <v>491.9</v>
      </c>
      <c r="I980" s="187">
        <f t="shared" si="81"/>
        <v>0</v>
      </c>
      <c r="J980" s="189">
        <f t="shared" si="82"/>
        <v>100</v>
      </c>
    </row>
    <row r="981" spans="1:10" ht="25.5">
      <c r="A981" s="16" t="s">
        <v>331</v>
      </c>
      <c r="B981" s="19" t="s">
        <v>274</v>
      </c>
      <c r="C981" s="19" t="s">
        <v>68</v>
      </c>
      <c r="D981" s="19" t="s">
        <v>66</v>
      </c>
      <c r="E981" s="97" t="s">
        <v>521</v>
      </c>
      <c r="F981" s="97" t="s">
        <v>92</v>
      </c>
      <c r="G981" s="187">
        <f>G982</f>
        <v>491.9</v>
      </c>
      <c r="H981" s="187">
        <f>H982</f>
        <v>491.9</v>
      </c>
      <c r="I981" s="187">
        <f t="shared" si="81"/>
        <v>0</v>
      </c>
      <c r="J981" s="189">
        <f t="shared" si="82"/>
        <v>100</v>
      </c>
    </row>
    <row r="982" spans="1:10" ht="25.5">
      <c r="A982" s="16" t="s">
        <v>556</v>
      </c>
      <c r="B982" s="19" t="s">
        <v>274</v>
      </c>
      <c r="C982" s="19" t="s">
        <v>68</v>
      </c>
      <c r="D982" s="19" t="s">
        <v>66</v>
      </c>
      <c r="E982" s="97" t="s">
        <v>521</v>
      </c>
      <c r="F982" s="97" t="s">
        <v>89</v>
      </c>
      <c r="G982" s="187">
        <f>500-8.1</f>
        <v>491.9</v>
      </c>
      <c r="H982" s="187">
        <v>491.9</v>
      </c>
      <c r="I982" s="187">
        <f t="shared" si="81"/>
        <v>0</v>
      </c>
      <c r="J982" s="189">
        <f t="shared" si="82"/>
        <v>100</v>
      </c>
    </row>
    <row r="983" spans="1:10" ht="51">
      <c r="A983" s="151" t="s">
        <v>527</v>
      </c>
      <c r="B983" s="19" t="s">
        <v>274</v>
      </c>
      <c r="C983" s="19" t="s">
        <v>68</v>
      </c>
      <c r="D983" s="19" t="s">
        <v>66</v>
      </c>
      <c r="E983" s="20" t="s">
        <v>416</v>
      </c>
      <c r="F983" s="20"/>
      <c r="G983" s="187">
        <f>G984+G988</f>
        <v>1075.0999999999999</v>
      </c>
      <c r="H983" s="187">
        <f>H984+H988</f>
        <v>0</v>
      </c>
      <c r="I983" s="187">
        <f t="shared" si="81"/>
        <v>1075.0999999999999</v>
      </c>
      <c r="J983" s="189">
        <f t="shared" si="82"/>
        <v>0</v>
      </c>
    </row>
    <row r="984" spans="1:10" ht="25.5">
      <c r="A984" s="16" t="s">
        <v>531</v>
      </c>
      <c r="B984" s="19" t="s">
        <v>274</v>
      </c>
      <c r="C984" s="19" t="s">
        <v>68</v>
      </c>
      <c r="D984" s="19" t="s">
        <v>66</v>
      </c>
      <c r="E984" s="20" t="s">
        <v>532</v>
      </c>
      <c r="F984" s="20"/>
      <c r="G984" s="187">
        <f t="shared" ref="G984:H986" si="83">G985</f>
        <v>244</v>
      </c>
      <c r="H984" s="187">
        <f t="shared" si="83"/>
        <v>0</v>
      </c>
      <c r="I984" s="187">
        <f t="shared" si="81"/>
        <v>244</v>
      </c>
      <c r="J984" s="189">
        <f t="shared" si="82"/>
        <v>0</v>
      </c>
    </row>
    <row r="985" spans="1:10" ht="25.5">
      <c r="A985" s="16" t="s">
        <v>533</v>
      </c>
      <c r="B985" s="19" t="s">
        <v>274</v>
      </c>
      <c r="C985" s="19" t="s">
        <v>68</v>
      </c>
      <c r="D985" s="19" t="s">
        <v>66</v>
      </c>
      <c r="E985" s="20" t="s">
        <v>534</v>
      </c>
      <c r="F985" s="20"/>
      <c r="G985" s="187">
        <f t="shared" si="83"/>
        <v>244</v>
      </c>
      <c r="H985" s="187">
        <f t="shared" si="83"/>
        <v>0</v>
      </c>
      <c r="I985" s="187">
        <f t="shared" si="81"/>
        <v>244</v>
      </c>
      <c r="J985" s="189">
        <f t="shared" si="82"/>
        <v>0</v>
      </c>
    </row>
    <row r="986" spans="1:10" ht="25.5">
      <c r="A986" s="16" t="s">
        <v>331</v>
      </c>
      <c r="B986" s="19" t="s">
        <v>274</v>
      </c>
      <c r="C986" s="19" t="s">
        <v>68</v>
      </c>
      <c r="D986" s="19" t="s">
        <v>66</v>
      </c>
      <c r="E986" s="20" t="s">
        <v>534</v>
      </c>
      <c r="F986" s="20" t="s">
        <v>92</v>
      </c>
      <c r="G986" s="187">
        <f t="shared" si="83"/>
        <v>244</v>
      </c>
      <c r="H986" s="187">
        <f t="shared" si="83"/>
        <v>0</v>
      </c>
      <c r="I986" s="187">
        <f t="shared" si="81"/>
        <v>244</v>
      </c>
      <c r="J986" s="189">
        <f t="shared" si="82"/>
        <v>0</v>
      </c>
    </row>
    <row r="987" spans="1:10" ht="25.5">
      <c r="A987" s="16" t="s">
        <v>556</v>
      </c>
      <c r="B987" s="19" t="s">
        <v>274</v>
      </c>
      <c r="C987" s="19" t="s">
        <v>68</v>
      </c>
      <c r="D987" s="19" t="s">
        <v>66</v>
      </c>
      <c r="E987" s="20" t="s">
        <v>534</v>
      </c>
      <c r="F987" s="20" t="s">
        <v>89</v>
      </c>
      <c r="G987" s="187">
        <f>976-732</f>
        <v>244</v>
      </c>
      <c r="H987" s="187"/>
      <c r="I987" s="187">
        <f t="shared" si="81"/>
        <v>244</v>
      </c>
      <c r="J987" s="189">
        <f t="shared" si="82"/>
        <v>0</v>
      </c>
    </row>
    <row r="988" spans="1:10" ht="38.25">
      <c r="A988" s="28" t="s">
        <v>637</v>
      </c>
      <c r="B988" s="19" t="s">
        <v>274</v>
      </c>
      <c r="C988" s="19" t="s">
        <v>68</v>
      </c>
      <c r="D988" s="19" t="s">
        <v>66</v>
      </c>
      <c r="E988" s="20" t="s">
        <v>638</v>
      </c>
      <c r="F988" s="20"/>
      <c r="G988" s="187">
        <f t="shared" ref="G988:H990" si="84">G989</f>
        <v>831.09999999999991</v>
      </c>
      <c r="H988" s="187">
        <f t="shared" si="84"/>
        <v>0</v>
      </c>
      <c r="I988" s="187">
        <f t="shared" si="81"/>
        <v>831.09999999999991</v>
      </c>
      <c r="J988" s="189">
        <f t="shared" si="82"/>
        <v>0</v>
      </c>
    </row>
    <row r="989" spans="1:10" ht="38.25">
      <c r="A989" s="28" t="s">
        <v>694</v>
      </c>
      <c r="B989" s="19" t="s">
        <v>274</v>
      </c>
      <c r="C989" s="19" t="s">
        <v>68</v>
      </c>
      <c r="D989" s="19" t="s">
        <v>66</v>
      </c>
      <c r="E989" s="20" t="s">
        <v>639</v>
      </c>
      <c r="F989" s="20"/>
      <c r="G989" s="187">
        <f t="shared" si="84"/>
        <v>831.09999999999991</v>
      </c>
      <c r="H989" s="187">
        <f t="shared" si="84"/>
        <v>0</v>
      </c>
      <c r="I989" s="187">
        <f t="shared" si="81"/>
        <v>831.09999999999991</v>
      </c>
      <c r="J989" s="189">
        <f t="shared" si="82"/>
        <v>0</v>
      </c>
    </row>
    <row r="990" spans="1:10" ht="25.5">
      <c r="A990" s="28" t="s">
        <v>331</v>
      </c>
      <c r="B990" s="19" t="s">
        <v>274</v>
      </c>
      <c r="C990" s="19" t="s">
        <v>68</v>
      </c>
      <c r="D990" s="19" t="s">
        <v>66</v>
      </c>
      <c r="E990" s="20" t="s">
        <v>639</v>
      </c>
      <c r="F990" s="20" t="s">
        <v>92</v>
      </c>
      <c r="G990" s="187">
        <f t="shared" si="84"/>
        <v>831.09999999999991</v>
      </c>
      <c r="H990" s="187">
        <f t="shared" si="84"/>
        <v>0</v>
      </c>
      <c r="I990" s="187">
        <f t="shared" si="81"/>
        <v>831.09999999999991</v>
      </c>
      <c r="J990" s="189">
        <f t="shared" si="82"/>
        <v>0</v>
      </c>
    </row>
    <row r="991" spans="1:10" ht="25.5">
      <c r="A991" s="28" t="s">
        <v>562</v>
      </c>
      <c r="B991" s="19" t="s">
        <v>274</v>
      </c>
      <c r="C991" s="19" t="s">
        <v>68</v>
      </c>
      <c r="D991" s="19" t="s">
        <v>66</v>
      </c>
      <c r="E991" s="20" t="s">
        <v>639</v>
      </c>
      <c r="F991" s="20" t="s">
        <v>89</v>
      </c>
      <c r="G991" s="187">
        <f>1662.1-831</f>
        <v>831.09999999999991</v>
      </c>
      <c r="H991" s="187"/>
      <c r="I991" s="187">
        <f t="shared" si="81"/>
        <v>831.09999999999991</v>
      </c>
      <c r="J991" s="189">
        <f t="shared" si="82"/>
        <v>0</v>
      </c>
    </row>
    <row r="992" spans="1:10">
      <c r="A992" s="15" t="s">
        <v>351</v>
      </c>
      <c r="B992" s="35" t="s">
        <v>274</v>
      </c>
      <c r="C992" s="35" t="s">
        <v>72</v>
      </c>
      <c r="D992" s="35" t="s">
        <v>33</v>
      </c>
      <c r="E992" s="100"/>
      <c r="F992" s="100"/>
      <c r="G992" s="185">
        <f>G993</f>
        <v>235</v>
      </c>
      <c r="H992" s="185">
        <f>H993</f>
        <v>85</v>
      </c>
      <c r="I992" s="187">
        <f t="shared" si="81"/>
        <v>150</v>
      </c>
      <c r="J992" s="189">
        <f t="shared" si="82"/>
        <v>36.170212765957451</v>
      </c>
    </row>
    <row r="993" spans="1:10">
      <c r="A993" s="15" t="s">
        <v>292</v>
      </c>
      <c r="B993" s="35" t="s">
        <v>274</v>
      </c>
      <c r="C993" s="35" t="s">
        <v>72</v>
      </c>
      <c r="D993" s="35" t="s">
        <v>68</v>
      </c>
      <c r="E993" s="100"/>
      <c r="F993" s="100"/>
      <c r="G993" s="185">
        <f>G995+G1003</f>
        <v>235</v>
      </c>
      <c r="H993" s="185">
        <f>H995+H1003</f>
        <v>85</v>
      </c>
      <c r="I993" s="187">
        <f t="shared" si="81"/>
        <v>150</v>
      </c>
      <c r="J993" s="189">
        <f t="shared" si="82"/>
        <v>36.170212765957451</v>
      </c>
    </row>
    <row r="994" spans="1:10">
      <c r="A994" s="16" t="s">
        <v>430</v>
      </c>
      <c r="B994" s="19" t="s">
        <v>274</v>
      </c>
      <c r="C994" s="19" t="s">
        <v>72</v>
      </c>
      <c r="D994" s="19" t="s">
        <v>68</v>
      </c>
      <c r="E994" s="102" t="s">
        <v>500</v>
      </c>
      <c r="F994" s="100"/>
      <c r="G994" s="187">
        <f>G995</f>
        <v>150</v>
      </c>
      <c r="H994" s="187">
        <f>H995</f>
        <v>0</v>
      </c>
      <c r="I994" s="187">
        <f t="shared" si="81"/>
        <v>150</v>
      </c>
      <c r="J994" s="189">
        <f t="shared" si="82"/>
        <v>0</v>
      </c>
    </row>
    <row r="995" spans="1:10" ht="38.25">
      <c r="A995" s="16" t="str">
        <f>'МП пр.5'!A735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v>
      </c>
      <c r="B995" s="19" t="s">
        <v>274</v>
      </c>
      <c r="C995" s="19" t="s">
        <v>72</v>
      </c>
      <c r="D995" s="19" t="s">
        <v>68</v>
      </c>
      <c r="E995" s="97" t="str">
        <f>'МП пр.5'!B735</f>
        <v>7W 0 00 00000</v>
      </c>
      <c r="F995" s="97"/>
      <c r="G995" s="187">
        <f>G996</f>
        <v>150</v>
      </c>
      <c r="H995" s="187">
        <f>H996</f>
        <v>0</v>
      </c>
      <c r="I995" s="187">
        <f t="shared" si="81"/>
        <v>150</v>
      </c>
      <c r="J995" s="189">
        <f t="shared" si="82"/>
        <v>0</v>
      </c>
    </row>
    <row r="996" spans="1:10" ht="38.25">
      <c r="A996" s="16" t="str">
        <f>'МП пр.5'!A736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996" s="19" t="s">
        <v>274</v>
      </c>
      <c r="C996" s="19" t="s">
        <v>72</v>
      </c>
      <c r="D996" s="19" t="s">
        <v>68</v>
      </c>
      <c r="E996" s="97" t="str">
        <f>'МП пр.5'!B736</f>
        <v>7W 0 02 00000</v>
      </c>
      <c r="F996" s="97"/>
      <c r="G996" s="187">
        <f>G997+G1000</f>
        <v>150</v>
      </c>
      <c r="H996" s="187">
        <f>H997+H1000</f>
        <v>0</v>
      </c>
      <c r="I996" s="187">
        <f t="shared" si="81"/>
        <v>150</v>
      </c>
      <c r="J996" s="189">
        <f t="shared" si="82"/>
        <v>0</v>
      </c>
    </row>
    <row r="997" spans="1:10" ht="38.25">
      <c r="A997" s="16" t="str">
        <f>'МП пр.5'!A737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997" s="19" t="s">
        <v>274</v>
      </c>
      <c r="C997" s="19" t="s">
        <v>72</v>
      </c>
      <c r="D997" s="19" t="s">
        <v>68</v>
      </c>
      <c r="E997" s="97" t="str">
        <f>'МП пр.5'!B737</f>
        <v>7W 0 02 73710</v>
      </c>
      <c r="F997" s="97"/>
      <c r="G997" s="187">
        <f>G998</f>
        <v>142.5</v>
      </c>
      <c r="H997" s="187">
        <f>H998</f>
        <v>0</v>
      </c>
      <c r="I997" s="187">
        <f t="shared" si="81"/>
        <v>142.5</v>
      </c>
      <c r="J997" s="189">
        <f t="shared" si="82"/>
        <v>0</v>
      </c>
    </row>
    <row r="998" spans="1:10" ht="25.5">
      <c r="A998" s="16" t="str">
        <f>'МП пр.5'!A746</f>
        <v>Закупка товаров, работ и услуг для обеспечения государственных (муниципальных) нужд</v>
      </c>
      <c r="B998" s="19" t="s">
        <v>274</v>
      </c>
      <c r="C998" s="19" t="s">
        <v>72</v>
      </c>
      <c r="D998" s="19" t="s">
        <v>68</v>
      </c>
      <c r="E998" s="97" t="str">
        <f>'МП пр.5'!B738</f>
        <v>7W 0 02 73710</v>
      </c>
      <c r="F998" s="97" t="s">
        <v>92</v>
      </c>
      <c r="G998" s="187">
        <f>G999</f>
        <v>142.5</v>
      </c>
      <c r="H998" s="187">
        <f>H999</f>
        <v>0</v>
      </c>
      <c r="I998" s="187">
        <f t="shared" si="81"/>
        <v>142.5</v>
      </c>
      <c r="J998" s="189">
        <f t="shared" si="82"/>
        <v>0</v>
      </c>
    </row>
    <row r="999" spans="1:10" ht="25.5">
      <c r="A999" s="16" t="s">
        <v>556</v>
      </c>
      <c r="B999" s="19" t="s">
        <v>274</v>
      </c>
      <c r="C999" s="19" t="s">
        <v>72</v>
      </c>
      <c r="D999" s="19" t="s">
        <v>68</v>
      </c>
      <c r="E999" s="97" t="str">
        <f>'МП пр.5'!B739</f>
        <v>7W 0 02 73710</v>
      </c>
      <c r="F999" s="97" t="s">
        <v>89</v>
      </c>
      <c r="G999" s="187">
        <f>'МП пр.5'!G742</f>
        <v>142.5</v>
      </c>
      <c r="H999" s="187">
        <f>'МП пр.5'!H742</f>
        <v>0</v>
      </c>
      <c r="I999" s="187">
        <f t="shared" si="81"/>
        <v>142.5</v>
      </c>
      <c r="J999" s="189">
        <f t="shared" si="82"/>
        <v>0</v>
      </c>
    </row>
    <row r="1000" spans="1:10" ht="51">
      <c r="A1000" s="16" t="str">
        <f>'МП пр.5'!A743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1000" s="19" t="s">
        <v>274</v>
      </c>
      <c r="C1000" s="19" t="s">
        <v>72</v>
      </c>
      <c r="D1000" s="19" t="s">
        <v>68</v>
      </c>
      <c r="E1000" s="97" t="str">
        <f>'МП пр.5'!B743</f>
        <v>7W 0 02 S3710</v>
      </c>
      <c r="F1000" s="97"/>
      <c r="G1000" s="187">
        <f>G1001</f>
        <v>7.5</v>
      </c>
      <c r="H1000" s="187">
        <f>H1001</f>
        <v>0</v>
      </c>
      <c r="I1000" s="187">
        <f t="shared" si="81"/>
        <v>7.5</v>
      </c>
      <c r="J1000" s="189">
        <f t="shared" si="82"/>
        <v>0</v>
      </c>
    </row>
    <row r="1001" spans="1:10" ht="25.5">
      <c r="A1001" s="16" t="str">
        <f>'МП пр.5'!A746</f>
        <v>Закупка товаров, работ и услуг для обеспечения государственных (муниципальных) нужд</v>
      </c>
      <c r="B1001" s="19" t="s">
        <v>274</v>
      </c>
      <c r="C1001" s="19" t="s">
        <v>72</v>
      </c>
      <c r="D1001" s="19" t="s">
        <v>68</v>
      </c>
      <c r="E1001" s="97" t="str">
        <f>'МП пр.5'!B744</f>
        <v>7W 0 02 S3710</v>
      </c>
      <c r="F1001" s="97" t="s">
        <v>92</v>
      </c>
      <c r="G1001" s="187">
        <f>G1002</f>
        <v>7.5</v>
      </c>
      <c r="H1001" s="187">
        <f>H1002</f>
        <v>0</v>
      </c>
      <c r="I1001" s="187">
        <f t="shared" si="81"/>
        <v>7.5</v>
      </c>
      <c r="J1001" s="189">
        <f t="shared" si="82"/>
        <v>0</v>
      </c>
    </row>
    <row r="1002" spans="1:10" ht="25.5">
      <c r="A1002" s="16" t="s">
        <v>556</v>
      </c>
      <c r="B1002" s="19" t="s">
        <v>274</v>
      </c>
      <c r="C1002" s="19" t="s">
        <v>72</v>
      </c>
      <c r="D1002" s="19" t="s">
        <v>68</v>
      </c>
      <c r="E1002" s="97" t="str">
        <f>'МП пр.5'!B745</f>
        <v>7W 0 02 S3710</v>
      </c>
      <c r="F1002" s="97" t="s">
        <v>89</v>
      </c>
      <c r="G1002" s="187">
        <f>'МП пр.5'!G748</f>
        <v>7.5</v>
      </c>
      <c r="H1002" s="187">
        <f>'МП пр.5'!H748</f>
        <v>0</v>
      </c>
      <c r="I1002" s="187">
        <f t="shared" si="81"/>
        <v>7.5</v>
      </c>
      <c r="J1002" s="189">
        <f t="shared" si="82"/>
        <v>0</v>
      </c>
    </row>
    <row r="1003" spans="1:10">
      <c r="A1003" s="28" t="s">
        <v>593</v>
      </c>
      <c r="B1003" s="19" t="s">
        <v>274</v>
      </c>
      <c r="C1003" s="19" t="s">
        <v>72</v>
      </c>
      <c r="D1003" s="19" t="s">
        <v>68</v>
      </c>
      <c r="E1003" s="20" t="s">
        <v>594</v>
      </c>
      <c r="F1003" s="97"/>
      <c r="G1003" s="187">
        <f t="shared" ref="G1003:H1005" si="85">G1004</f>
        <v>85</v>
      </c>
      <c r="H1003" s="187">
        <f t="shared" si="85"/>
        <v>85</v>
      </c>
      <c r="I1003" s="187">
        <f t="shared" si="81"/>
        <v>0</v>
      </c>
      <c r="J1003" s="189">
        <f t="shared" si="82"/>
        <v>100</v>
      </c>
    </row>
    <row r="1004" spans="1:10">
      <c r="A1004" s="28" t="s">
        <v>595</v>
      </c>
      <c r="B1004" s="19" t="s">
        <v>274</v>
      </c>
      <c r="C1004" s="19" t="s">
        <v>72</v>
      </c>
      <c r="D1004" s="19" t="s">
        <v>68</v>
      </c>
      <c r="E1004" s="20" t="s">
        <v>596</v>
      </c>
      <c r="F1004" s="97"/>
      <c r="G1004" s="187">
        <f t="shared" si="85"/>
        <v>85</v>
      </c>
      <c r="H1004" s="187">
        <f t="shared" si="85"/>
        <v>85</v>
      </c>
      <c r="I1004" s="187">
        <f t="shared" si="81"/>
        <v>0</v>
      </c>
      <c r="J1004" s="189">
        <f t="shared" si="82"/>
        <v>100</v>
      </c>
    </row>
    <row r="1005" spans="1:10" ht="25.5">
      <c r="A1005" s="28" t="s">
        <v>331</v>
      </c>
      <c r="B1005" s="19" t="s">
        <v>274</v>
      </c>
      <c r="C1005" s="19" t="s">
        <v>72</v>
      </c>
      <c r="D1005" s="19" t="s">
        <v>68</v>
      </c>
      <c r="E1005" s="20" t="s">
        <v>596</v>
      </c>
      <c r="F1005" s="97" t="s">
        <v>92</v>
      </c>
      <c r="G1005" s="187">
        <f t="shared" si="85"/>
        <v>85</v>
      </c>
      <c r="H1005" s="187">
        <f t="shared" si="85"/>
        <v>85</v>
      </c>
      <c r="I1005" s="187">
        <f t="shared" si="81"/>
        <v>0</v>
      </c>
      <c r="J1005" s="189">
        <f t="shared" si="82"/>
        <v>100</v>
      </c>
    </row>
    <row r="1006" spans="1:10" ht="25.5">
      <c r="A1006" s="28" t="s">
        <v>562</v>
      </c>
      <c r="B1006" s="19" t="s">
        <v>274</v>
      </c>
      <c r="C1006" s="19" t="s">
        <v>72</v>
      </c>
      <c r="D1006" s="19" t="s">
        <v>68</v>
      </c>
      <c r="E1006" s="20" t="s">
        <v>596</v>
      </c>
      <c r="F1006" s="97" t="s">
        <v>89</v>
      </c>
      <c r="G1006" s="187">
        <f>85</f>
        <v>85</v>
      </c>
      <c r="H1006" s="187">
        <v>85</v>
      </c>
      <c r="I1006" s="187">
        <f t="shared" si="81"/>
        <v>0</v>
      </c>
      <c r="J1006" s="189">
        <f t="shared" si="82"/>
        <v>100</v>
      </c>
    </row>
    <row r="1007" spans="1:10">
      <c r="A1007" s="181" t="s">
        <v>73</v>
      </c>
      <c r="B1007" s="182"/>
      <c r="C1007" s="182"/>
      <c r="D1007" s="182"/>
      <c r="E1007" s="183"/>
      <c r="F1007" s="183"/>
      <c r="G1007" s="184">
        <f>G9+G223+G257+G299+G353+G629+G871</f>
        <v>776848.9</v>
      </c>
      <c r="H1007" s="184">
        <f>H9+H223+H257+H299+H353+H629+H871</f>
        <v>764742.99999999988</v>
      </c>
      <c r="I1007" s="187">
        <f t="shared" si="81"/>
        <v>12105.90000000014</v>
      </c>
      <c r="J1007" s="189">
        <f t="shared" si="82"/>
        <v>98.441666069167354</v>
      </c>
    </row>
    <row r="1009" spans="8:9">
      <c r="H1009" s="119"/>
    </row>
    <row r="1010" spans="8:9">
      <c r="I1010" s="119"/>
    </row>
  </sheetData>
  <autoFilter ref="A8:J1009">
    <filterColumn colId="1"/>
    <filterColumn colId="4"/>
    <filterColumn colId="8"/>
  </autoFilter>
  <mergeCells count="5">
    <mergeCell ref="A5:J5"/>
    <mergeCell ref="A1:K1"/>
    <mergeCell ref="A2:J2"/>
    <mergeCell ref="A3:J3"/>
    <mergeCell ref="A4:J4"/>
  </mergeCells>
  <phoneticPr fontId="0" type="noConversion"/>
  <pageMargins left="0.78740157480314965" right="0.39370078740157483" top="0.39370078740157483" bottom="0.3937007874015748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CC00"/>
  </sheetPr>
  <dimension ref="A1:L760"/>
  <sheetViews>
    <sheetView view="pageBreakPreview" topLeftCell="B30" zoomScale="120" zoomScaleNormal="140" zoomScaleSheetLayoutView="120" workbookViewId="0">
      <selection sqref="A1:J44"/>
    </sheetView>
  </sheetViews>
  <sheetFormatPr defaultColWidth="9.140625" defaultRowHeight="12.75"/>
  <cols>
    <col min="1" max="1" width="46.5703125" style="178" customWidth="1"/>
    <col min="2" max="2" width="11" style="167" customWidth="1"/>
    <col min="3" max="4" width="3.42578125" style="167" customWidth="1"/>
    <col min="5" max="5" width="3.5703125" style="175" customWidth="1"/>
    <col min="6" max="6" width="4" style="167" customWidth="1"/>
    <col min="7" max="7" width="9.42578125" style="167" customWidth="1"/>
    <col min="8" max="8" width="9.7109375" style="167" customWidth="1"/>
    <col min="9" max="9" width="9.140625" style="167" customWidth="1"/>
    <col min="10" max="10" width="9.140625" style="167" bestFit="1" customWidth="1"/>
    <col min="11" max="11" width="43" style="167" customWidth="1"/>
    <col min="12" max="16384" width="9.140625" style="167"/>
  </cols>
  <sheetData>
    <row r="1" spans="1:10" s="11" customFormat="1">
      <c r="A1" s="301" t="s">
        <v>348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11" customFormat="1" ht="12.75" customHeight="1">
      <c r="A2" s="300" t="str">
        <f>'пр2 по разд'!A2:D2</f>
        <v>к решению Собрания представителей Сусуманского городского округа</v>
      </c>
      <c r="B2" s="300"/>
      <c r="C2" s="300"/>
      <c r="D2" s="300"/>
      <c r="E2" s="300"/>
      <c r="F2" s="306"/>
      <c r="G2" s="305"/>
      <c r="H2" s="305"/>
      <c r="I2" s="305"/>
      <c r="J2" s="305"/>
    </row>
    <row r="3" spans="1:10" s="11" customFormat="1" ht="12.75" customHeight="1">
      <c r="A3" s="300" t="str">
        <f>'пр2 по разд'!A3:G3</f>
        <v>"Об исполнении бюджета муниципального образования "Сусуманский городской округ" за 2019 год"</v>
      </c>
      <c r="B3" s="300"/>
      <c r="C3" s="300"/>
      <c r="D3" s="300"/>
      <c r="E3" s="300"/>
      <c r="F3" s="306"/>
      <c r="G3" s="305"/>
      <c r="H3" s="305"/>
      <c r="I3" s="305"/>
      <c r="J3" s="305"/>
    </row>
    <row r="4" spans="1:10" s="11" customFormat="1">
      <c r="A4" s="300" t="s">
        <v>774</v>
      </c>
      <c r="B4" s="300"/>
      <c r="C4" s="300"/>
      <c r="D4" s="300"/>
      <c r="E4" s="300"/>
      <c r="F4" s="306"/>
      <c r="G4" s="305"/>
      <c r="H4" s="305"/>
      <c r="I4" s="305"/>
      <c r="J4" s="305"/>
    </row>
    <row r="5" spans="1:10" s="11" customFormat="1" ht="19.899999999999999" customHeight="1">
      <c r="A5" s="307" t="s">
        <v>706</v>
      </c>
      <c r="B5" s="307"/>
      <c r="C5" s="308"/>
      <c r="D5" s="308"/>
      <c r="E5" s="308"/>
      <c r="F5" s="308"/>
      <c r="G5" s="308"/>
      <c r="H5" s="305"/>
      <c r="I5" s="305"/>
      <c r="J5" s="305"/>
    </row>
    <row r="6" spans="1:10" s="11" customFormat="1">
      <c r="A6" s="93"/>
      <c r="B6" s="94"/>
      <c r="C6" s="94"/>
      <c r="D6" s="94"/>
      <c r="E6" s="122"/>
      <c r="F6" s="94"/>
      <c r="G6" s="93"/>
      <c r="J6" s="11" t="s">
        <v>1</v>
      </c>
    </row>
    <row r="7" spans="1:10" s="11" customFormat="1" ht="25.15" customHeight="1">
      <c r="A7" s="76" t="s">
        <v>29</v>
      </c>
      <c r="B7" s="77" t="s">
        <v>43</v>
      </c>
      <c r="C7" s="77" t="s">
        <v>42</v>
      </c>
      <c r="D7" s="77" t="s">
        <v>41</v>
      </c>
      <c r="E7" s="88" t="s">
        <v>44</v>
      </c>
      <c r="F7" s="76" t="s">
        <v>0</v>
      </c>
      <c r="G7" s="77" t="str">
        <f>'пр.4 вед.стр.'!G7</f>
        <v>Сумма</v>
      </c>
      <c r="H7" s="176" t="s">
        <v>697</v>
      </c>
      <c r="I7" s="176" t="s">
        <v>698</v>
      </c>
      <c r="J7" s="177" t="s">
        <v>699</v>
      </c>
    </row>
    <row r="8" spans="1:10" s="11" customFormat="1">
      <c r="A8" s="78">
        <v>1</v>
      </c>
      <c r="B8" s="77">
        <v>2</v>
      </c>
      <c r="C8" s="77">
        <v>3</v>
      </c>
      <c r="D8" s="77">
        <v>4</v>
      </c>
      <c r="E8" s="88">
        <v>5</v>
      </c>
      <c r="F8" s="76">
        <v>6</v>
      </c>
      <c r="G8" s="76">
        <v>7</v>
      </c>
      <c r="H8" s="76">
        <v>8</v>
      </c>
      <c r="I8" s="76">
        <v>9</v>
      </c>
      <c r="J8" s="78">
        <v>10</v>
      </c>
    </row>
    <row r="9" spans="1:10" s="11" customFormat="1" ht="32.25">
      <c r="A9" s="115" t="s">
        <v>693</v>
      </c>
      <c r="B9" s="77" t="s">
        <v>588</v>
      </c>
      <c r="C9" s="80"/>
      <c r="D9" s="80"/>
      <c r="E9" s="88"/>
      <c r="F9" s="76"/>
      <c r="G9" s="163">
        <f t="shared" ref="G9:H15" si="0">G10</f>
        <v>1414.4</v>
      </c>
      <c r="H9" s="163">
        <f t="shared" si="0"/>
        <v>0</v>
      </c>
      <c r="I9" s="163">
        <f t="shared" ref="I9:I72" si="1">G9-H9</f>
        <v>1414.4</v>
      </c>
      <c r="J9" s="164">
        <f t="shared" ref="J9:J72" si="2">H9/G9*100</f>
        <v>0</v>
      </c>
    </row>
    <row r="10" spans="1:10" s="11" customFormat="1" ht="21.75">
      <c r="A10" s="115" t="s">
        <v>586</v>
      </c>
      <c r="B10" s="77" t="s">
        <v>589</v>
      </c>
      <c r="C10" s="77"/>
      <c r="D10" s="77"/>
      <c r="E10" s="88"/>
      <c r="F10" s="76"/>
      <c r="G10" s="164">
        <f t="shared" si="0"/>
        <v>1414.4</v>
      </c>
      <c r="H10" s="164">
        <f t="shared" si="0"/>
        <v>0</v>
      </c>
      <c r="I10" s="163">
        <f t="shared" si="1"/>
        <v>1414.4</v>
      </c>
      <c r="J10" s="164">
        <f t="shared" si="2"/>
        <v>0</v>
      </c>
    </row>
    <row r="11" spans="1:10" s="11" customFormat="1" ht="42.75">
      <c r="A11" s="115" t="s">
        <v>587</v>
      </c>
      <c r="B11" s="77" t="s">
        <v>590</v>
      </c>
      <c r="C11" s="77"/>
      <c r="D11" s="77"/>
      <c r="E11" s="88"/>
      <c r="F11" s="76"/>
      <c r="G11" s="164">
        <f t="shared" si="0"/>
        <v>1414.4</v>
      </c>
      <c r="H11" s="164">
        <f t="shared" si="0"/>
        <v>0</v>
      </c>
      <c r="I11" s="163">
        <f t="shared" si="1"/>
        <v>1414.4</v>
      </c>
      <c r="J11" s="164">
        <f t="shared" si="2"/>
        <v>0</v>
      </c>
    </row>
    <row r="12" spans="1:10" s="11" customFormat="1" ht="22.5">
      <c r="A12" s="115" t="s">
        <v>5</v>
      </c>
      <c r="B12" s="83" t="s">
        <v>590</v>
      </c>
      <c r="C12" s="80" t="s">
        <v>64</v>
      </c>
      <c r="D12" s="80" t="s">
        <v>33</v>
      </c>
      <c r="E12" s="88"/>
      <c r="F12" s="76"/>
      <c r="G12" s="164">
        <f t="shared" si="0"/>
        <v>1414.4</v>
      </c>
      <c r="H12" s="164">
        <f t="shared" si="0"/>
        <v>0</v>
      </c>
      <c r="I12" s="163">
        <f t="shared" si="1"/>
        <v>1414.4</v>
      </c>
      <c r="J12" s="164">
        <f t="shared" si="2"/>
        <v>0</v>
      </c>
    </row>
    <row r="13" spans="1:10" s="11" customFormat="1" ht="22.5">
      <c r="A13" s="124" t="s">
        <v>319</v>
      </c>
      <c r="B13" s="83" t="s">
        <v>590</v>
      </c>
      <c r="C13" s="84" t="s">
        <v>64</v>
      </c>
      <c r="D13" s="84" t="s">
        <v>72</v>
      </c>
      <c r="E13" s="88"/>
      <c r="F13" s="76"/>
      <c r="G13" s="165">
        <f t="shared" si="0"/>
        <v>1414.4</v>
      </c>
      <c r="H13" s="165">
        <f t="shared" si="0"/>
        <v>0</v>
      </c>
      <c r="I13" s="166">
        <f t="shared" si="1"/>
        <v>1414.4</v>
      </c>
      <c r="J13" s="165">
        <f t="shared" si="2"/>
        <v>0</v>
      </c>
    </row>
    <row r="14" spans="1:10" s="11" customFormat="1" ht="22.5">
      <c r="A14" s="85" t="s">
        <v>331</v>
      </c>
      <c r="B14" s="83" t="s">
        <v>590</v>
      </c>
      <c r="C14" s="84" t="s">
        <v>64</v>
      </c>
      <c r="D14" s="84" t="s">
        <v>72</v>
      </c>
      <c r="E14" s="86" t="s">
        <v>92</v>
      </c>
      <c r="F14" s="81"/>
      <c r="G14" s="165">
        <f t="shared" si="0"/>
        <v>1414.4</v>
      </c>
      <c r="H14" s="165">
        <f t="shared" si="0"/>
        <v>0</v>
      </c>
      <c r="I14" s="166">
        <f t="shared" si="1"/>
        <v>1414.4</v>
      </c>
      <c r="J14" s="165">
        <f t="shared" si="2"/>
        <v>0</v>
      </c>
    </row>
    <row r="15" spans="1:10" s="11" customFormat="1" ht="22.5">
      <c r="A15" s="85" t="s">
        <v>558</v>
      </c>
      <c r="B15" s="83" t="s">
        <v>590</v>
      </c>
      <c r="C15" s="84" t="s">
        <v>64</v>
      </c>
      <c r="D15" s="84" t="s">
        <v>72</v>
      </c>
      <c r="E15" s="86" t="s">
        <v>89</v>
      </c>
      <c r="F15" s="81"/>
      <c r="G15" s="165">
        <f t="shared" si="0"/>
        <v>1414.4</v>
      </c>
      <c r="H15" s="165">
        <f t="shared" si="0"/>
        <v>0</v>
      </c>
      <c r="I15" s="166">
        <f t="shared" si="1"/>
        <v>1414.4</v>
      </c>
      <c r="J15" s="165">
        <f t="shared" si="2"/>
        <v>0</v>
      </c>
    </row>
    <row r="16" spans="1:10" s="11" customFormat="1" ht="22.5">
      <c r="A16" s="85" t="s">
        <v>318</v>
      </c>
      <c r="B16" s="83" t="s">
        <v>590</v>
      </c>
      <c r="C16" s="84" t="s">
        <v>64</v>
      </c>
      <c r="D16" s="84" t="s">
        <v>72</v>
      </c>
      <c r="E16" s="86" t="s">
        <v>89</v>
      </c>
      <c r="F16" s="81">
        <v>727</v>
      </c>
      <c r="G16" s="165">
        <f>3875-2460.6</f>
        <v>1414.4</v>
      </c>
      <c r="H16" s="165">
        <v>0</v>
      </c>
      <c r="I16" s="166">
        <f t="shared" si="1"/>
        <v>1414.4</v>
      </c>
      <c r="J16" s="165">
        <f t="shared" si="2"/>
        <v>0</v>
      </c>
    </row>
    <row r="17" spans="1:10" s="58" customFormat="1" ht="42.75">
      <c r="A17" s="79" t="s">
        <v>663</v>
      </c>
      <c r="B17" s="77" t="s">
        <v>143</v>
      </c>
      <c r="C17" s="80"/>
      <c r="D17" s="80"/>
      <c r="E17" s="88"/>
      <c r="F17" s="76"/>
      <c r="G17" s="163">
        <f>G18</f>
        <v>1325.1999999999998</v>
      </c>
      <c r="H17" s="163">
        <f>H18</f>
        <v>1277.9000000000001</v>
      </c>
      <c r="I17" s="163">
        <f t="shared" si="1"/>
        <v>47.299999999999727</v>
      </c>
      <c r="J17" s="164">
        <f t="shared" si="2"/>
        <v>96.430727437367963</v>
      </c>
    </row>
    <row r="18" spans="1:10" s="58" customFormat="1" ht="34.9" customHeight="1">
      <c r="A18" s="79" t="s">
        <v>544</v>
      </c>
      <c r="B18" s="77" t="s">
        <v>360</v>
      </c>
      <c r="C18" s="80"/>
      <c r="D18" s="80"/>
      <c r="E18" s="88"/>
      <c r="F18" s="76"/>
      <c r="G18" s="163">
        <f>G19+G33+G39</f>
        <v>1325.1999999999998</v>
      </c>
      <c r="H18" s="163">
        <f>H19+H33+H39</f>
        <v>1277.9000000000001</v>
      </c>
      <c r="I18" s="163">
        <f t="shared" si="1"/>
        <v>47.299999999999727</v>
      </c>
      <c r="J18" s="164">
        <f t="shared" si="2"/>
        <v>96.430727437367963</v>
      </c>
    </row>
    <row r="19" spans="1:10" s="58" customFormat="1" ht="21.75">
      <c r="A19" s="79" t="s">
        <v>142</v>
      </c>
      <c r="B19" s="77" t="s">
        <v>361</v>
      </c>
      <c r="C19" s="80"/>
      <c r="D19" s="80"/>
      <c r="E19" s="88"/>
      <c r="F19" s="76"/>
      <c r="G19" s="163">
        <f>G20</f>
        <v>947.4</v>
      </c>
      <c r="H19" s="163">
        <f>H20</f>
        <v>909.5</v>
      </c>
      <c r="I19" s="163">
        <f t="shared" si="1"/>
        <v>37.899999999999977</v>
      </c>
      <c r="J19" s="164">
        <f t="shared" si="2"/>
        <v>95.999577791851394</v>
      </c>
    </row>
    <row r="20" spans="1:10" s="58" customFormat="1" ht="21">
      <c r="A20" s="89" t="s">
        <v>7</v>
      </c>
      <c r="B20" s="77" t="s">
        <v>361</v>
      </c>
      <c r="C20" s="80" t="s">
        <v>65</v>
      </c>
      <c r="D20" s="80" t="s">
        <v>33</v>
      </c>
      <c r="E20" s="88"/>
      <c r="F20" s="76"/>
      <c r="G20" s="163">
        <f>G21+G25+G29</f>
        <v>947.4</v>
      </c>
      <c r="H20" s="163">
        <f>H21+H25+H29</f>
        <v>909.5</v>
      </c>
      <c r="I20" s="163">
        <f t="shared" si="1"/>
        <v>37.899999999999977</v>
      </c>
      <c r="J20" s="164">
        <f t="shared" si="2"/>
        <v>95.999577791851394</v>
      </c>
    </row>
    <row r="21" spans="1:10" s="11" customFormat="1">
      <c r="A21" s="85" t="s">
        <v>8</v>
      </c>
      <c r="B21" s="83" t="s">
        <v>361</v>
      </c>
      <c r="C21" s="84" t="s">
        <v>65</v>
      </c>
      <c r="D21" s="84" t="s">
        <v>62</v>
      </c>
      <c r="E21" s="86"/>
      <c r="F21" s="81"/>
      <c r="G21" s="166">
        <f t="shared" ref="G21:H23" si="3">G22</f>
        <v>170.70000000000002</v>
      </c>
      <c r="H21" s="166">
        <f t="shared" si="3"/>
        <v>170.7</v>
      </c>
      <c r="I21" s="166">
        <f t="shared" si="1"/>
        <v>0</v>
      </c>
      <c r="J21" s="165">
        <f t="shared" si="2"/>
        <v>99.999999999999986</v>
      </c>
    </row>
    <row r="22" spans="1:10" s="11" customFormat="1" ht="22.5">
      <c r="A22" s="85" t="s">
        <v>93</v>
      </c>
      <c r="B22" s="83" t="s">
        <v>361</v>
      </c>
      <c r="C22" s="84" t="s">
        <v>65</v>
      </c>
      <c r="D22" s="84" t="s">
        <v>62</v>
      </c>
      <c r="E22" s="86">
        <v>600</v>
      </c>
      <c r="F22" s="81"/>
      <c r="G22" s="166">
        <f t="shared" si="3"/>
        <v>170.70000000000002</v>
      </c>
      <c r="H22" s="166">
        <f t="shared" si="3"/>
        <v>170.7</v>
      </c>
      <c r="I22" s="166">
        <f t="shared" si="1"/>
        <v>0</v>
      </c>
      <c r="J22" s="165">
        <f t="shared" si="2"/>
        <v>99.999999999999986</v>
      </c>
    </row>
    <row r="23" spans="1:10" s="11" customFormat="1">
      <c r="A23" s="85" t="s">
        <v>97</v>
      </c>
      <c r="B23" s="83" t="s">
        <v>361</v>
      </c>
      <c r="C23" s="84" t="s">
        <v>65</v>
      </c>
      <c r="D23" s="84" t="s">
        <v>62</v>
      </c>
      <c r="E23" s="86">
        <v>610</v>
      </c>
      <c r="F23" s="81"/>
      <c r="G23" s="166">
        <f t="shared" si="3"/>
        <v>170.70000000000002</v>
      </c>
      <c r="H23" s="166">
        <f t="shared" si="3"/>
        <v>170.7</v>
      </c>
      <c r="I23" s="166">
        <f t="shared" si="1"/>
        <v>0</v>
      </c>
      <c r="J23" s="165">
        <f t="shared" si="2"/>
        <v>99.999999999999986</v>
      </c>
    </row>
    <row r="24" spans="1:10" s="11" customFormat="1" ht="22.5">
      <c r="A24" s="82" t="s">
        <v>131</v>
      </c>
      <c r="B24" s="83" t="s">
        <v>361</v>
      </c>
      <c r="C24" s="84" t="s">
        <v>65</v>
      </c>
      <c r="D24" s="84" t="s">
        <v>62</v>
      </c>
      <c r="E24" s="86" t="s">
        <v>98</v>
      </c>
      <c r="F24" s="81">
        <v>725</v>
      </c>
      <c r="G24" s="166">
        <f>177.3-6.6</f>
        <v>170.70000000000002</v>
      </c>
      <c r="H24" s="166">
        <v>170.7</v>
      </c>
      <c r="I24" s="166">
        <f t="shared" si="1"/>
        <v>0</v>
      </c>
      <c r="J24" s="165">
        <f t="shared" si="2"/>
        <v>99.999999999999986</v>
      </c>
    </row>
    <row r="25" spans="1:10" s="11" customFormat="1">
      <c r="A25" s="82" t="s">
        <v>9</v>
      </c>
      <c r="B25" s="83" t="s">
        <v>361</v>
      </c>
      <c r="C25" s="84" t="s">
        <v>65</v>
      </c>
      <c r="D25" s="84" t="s">
        <v>63</v>
      </c>
      <c r="E25" s="86"/>
      <c r="F25" s="81"/>
      <c r="G25" s="166">
        <f t="shared" ref="G25:H27" si="4">G26</f>
        <v>626.4</v>
      </c>
      <c r="H25" s="166">
        <f t="shared" si="4"/>
        <v>588.5</v>
      </c>
      <c r="I25" s="166">
        <f t="shared" si="1"/>
        <v>37.899999999999977</v>
      </c>
      <c r="J25" s="165">
        <f t="shared" si="2"/>
        <v>93.949553001277138</v>
      </c>
    </row>
    <row r="26" spans="1:10" s="11" customFormat="1" ht="22.5">
      <c r="A26" s="85" t="s">
        <v>93</v>
      </c>
      <c r="B26" s="83" t="s">
        <v>361</v>
      </c>
      <c r="C26" s="84" t="s">
        <v>65</v>
      </c>
      <c r="D26" s="84" t="s">
        <v>63</v>
      </c>
      <c r="E26" s="86">
        <v>600</v>
      </c>
      <c r="F26" s="81"/>
      <c r="G26" s="166">
        <f t="shared" si="4"/>
        <v>626.4</v>
      </c>
      <c r="H26" s="166">
        <f t="shared" si="4"/>
        <v>588.5</v>
      </c>
      <c r="I26" s="166">
        <f t="shared" si="1"/>
        <v>37.899999999999977</v>
      </c>
      <c r="J26" s="165">
        <f t="shared" si="2"/>
        <v>93.949553001277138</v>
      </c>
    </row>
    <row r="27" spans="1:10" s="11" customFormat="1">
      <c r="A27" s="85" t="s">
        <v>97</v>
      </c>
      <c r="B27" s="83" t="s">
        <v>361</v>
      </c>
      <c r="C27" s="84" t="s">
        <v>65</v>
      </c>
      <c r="D27" s="84" t="s">
        <v>63</v>
      </c>
      <c r="E27" s="86">
        <v>610</v>
      </c>
      <c r="F27" s="81"/>
      <c r="G27" s="166">
        <f t="shared" si="4"/>
        <v>626.4</v>
      </c>
      <c r="H27" s="166">
        <f t="shared" si="4"/>
        <v>588.5</v>
      </c>
      <c r="I27" s="166">
        <f t="shared" si="1"/>
        <v>37.899999999999977</v>
      </c>
      <c r="J27" s="165">
        <f t="shared" si="2"/>
        <v>93.949553001277138</v>
      </c>
    </row>
    <row r="28" spans="1:10" s="11" customFormat="1" ht="22.5">
      <c r="A28" s="82" t="s">
        <v>131</v>
      </c>
      <c r="B28" s="83" t="s">
        <v>361</v>
      </c>
      <c r="C28" s="84" t="s">
        <v>65</v>
      </c>
      <c r="D28" s="84" t="s">
        <v>63</v>
      </c>
      <c r="E28" s="86" t="s">
        <v>98</v>
      </c>
      <c r="F28" s="81">
        <v>725</v>
      </c>
      <c r="G28" s="166">
        <f>639.9-13.5</f>
        <v>626.4</v>
      </c>
      <c r="H28" s="166">
        <v>588.5</v>
      </c>
      <c r="I28" s="166">
        <f t="shared" si="1"/>
        <v>37.899999999999977</v>
      </c>
      <c r="J28" s="165">
        <f t="shared" si="2"/>
        <v>93.949553001277138</v>
      </c>
    </row>
    <row r="29" spans="1:10" s="11" customFormat="1">
      <c r="A29" s="85" t="s">
        <v>302</v>
      </c>
      <c r="B29" s="83" t="s">
        <v>361</v>
      </c>
      <c r="C29" s="84" t="s">
        <v>65</v>
      </c>
      <c r="D29" s="84" t="s">
        <v>66</v>
      </c>
      <c r="E29" s="86"/>
      <c r="F29" s="81"/>
      <c r="G29" s="166">
        <f t="shared" ref="G29:H31" si="5">G30</f>
        <v>150.29999999999998</v>
      </c>
      <c r="H29" s="166">
        <f t="shared" si="5"/>
        <v>150.30000000000001</v>
      </c>
      <c r="I29" s="166">
        <f t="shared" si="1"/>
        <v>0</v>
      </c>
      <c r="J29" s="165">
        <f t="shared" si="2"/>
        <v>100.00000000000003</v>
      </c>
    </row>
    <row r="30" spans="1:10" s="11" customFormat="1" ht="22.5">
      <c r="A30" s="85" t="s">
        <v>93</v>
      </c>
      <c r="B30" s="83" t="s">
        <v>361</v>
      </c>
      <c r="C30" s="84" t="s">
        <v>65</v>
      </c>
      <c r="D30" s="84" t="s">
        <v>66</v>
      </c>
      <c r="E30" s="86">
        <v>600</v>
      </c>
      <c r="F30" s="81"/>
      <c r="G30" s="166">
        <f t="shared" si="5"/>
        <v>150.29999999999998</v>
      </c>
      <c r="H30" s="166">
        <f t="shared" si="5"/>
        <v>150.30000000000001</v>
      </c>
      <c r="I30" s="166">
        <f t="shared" si="1"/>
        <v>0</v>
      </c>
      <c r="J30" s="165">
        <f t="shared" si="2"/>
        <v>100.00000000000003</v>
      </c>
    </row>
    <row r="31" spans="1:10" s="11" customFormat="1">
      <c r="A31" s="85" t="s">
        <v>97</v>
      </c>
      <c r="B31" s="83" t="s">
        <v>361</v>
      </c>
      <c r="C31" s="84" t="s">
        <v>65</v>
      </c>
      <c r="D31" s="84" t="s">
        <v>66</v>
      </c>
      <c r="E31" s="86">
        <v>610</v>
      </c>
      <c r="F31" s="81"/>
      <c r="G31" s="166">
        <f t="shared" si="5"/>
        <v>150.29999999999998</v>
      </c>
      <c r="H31" s="166">
        <f t="shared" si="5"/>
        <v>150.30000000000001</v>
      </c>
      <c r="I31" s="166">
        <f t="shared" si="1"/>
        <v>0</v>
      </c>
      <c r="J31" s="165">
        <f t="shared" si="2"/>
        <v>100.00000000000003</v>
      </c>
    </row>
    <row r="32" spans="1:10" s="11" customFormat="1" ht="22.5">
      <c r="A32" s="82" t="s">
        <v>131</v>
      </c>
      <c r="B32" s="83" t="s">
        <v>361</v>
      </c>
      <c r="C32" s="84" t="s">
        <v>65</v>
      </c>
      <c r="D32" s="84" t="s">
        <v>66</v>
      </c>
      <c r="E32" s="86" t="s">
        <v>98</v>
      </c>
      <c r="F32" s="81">
        <v>725</v>
      </c>
      <c r="G32" s="166">
        <f>145.6+4.7</f>
        <v>150.29999999999998</v>
      </c>
      <c r="H32" s="166">
        <v>150.30000000000001</v>
      </c>
      <c r="I32" s="166">
        <f t="shared" si="1"/>
        <v>0</v>
      </c>
      <c r="J32" s="165">
        <f t="shared" si="2"/>
        <v>100.00000000000003</v>
      </c>
    </row>
    <row r="33" spans="1:10" s="58" customFormat="1" ht="21">
      <c r="A33" s="89" t="s">
        <v>362</v>
      </c>
      <c r="B33" s="77" t="s">
        <v>363</v>
      </c>
      <c r="C33" s="80"/>
      <c r="D33" s="80"/>
      <c r="E33" s="88"/>
      <c r="F33" s="76"/>
      <c r="G33" s="163">
        <f>G34</f>
        <v>16.799999999999997</v>
      </c>
      <c r="H33" s="163">
        <f>H34</f>
        <v>7.5</v>
      </c>
      <c r="I33" s="163">
        <f t="shared" si="1"/>
        <v>9.2999999999999972</v>
      </c>
      <c r="J33" s="164">
        <f t="shared" si="2"/>
        <v>44.642857142857153</v>
      </c>
    </row>
    <row r="34" spans="1:10" s="58" customFormat="1" ht="21">
      <c r="A34" s="89" t="s">
        <v>7</v>
      </c>
      <c r="B34" s="77" t="s">
        <v>363</v>
      </c>
      <c r="C34" s="80" t="s">
        <v>65</v>
      </c>
      <c r="D34" s="80" t="s">
        <v>33</v>
      </c>
      <c r="E34" s="88"/>
      <c r="F34" s="76"/>
      <c r="G34" s="163">
        <f>G38</f>
        <v>16.799999999999997</v>
      </c>
      <c r="H34" s="163">
        <f>H38</f>
        <v>7.5</v>
      </c>
      <c r="I34" s="163">
        <f t="shared" si="1"/>
        <v>9.2999999999999972</v>
      </c>
      <c r="J34" s="164">
        <f t="shared" si="2"/>
        <v>44.642857142857153</v>
      </c>
    </row>
    <row r="35" spans="1:10" s="11" customFormat="1">
      <c r="A35" s="85" t="s">
        <v>302</v>
      </c>
      <c r="B35" s="83" t="s">
        <v>363</v>
      </c>
      <c r="C35" s="84" t="s">
        <v>65</v>
      </c>
      <c r="D35" s="84" t="s">
        <v>66</v>
      </c>
      <c r="E35" s="86"/>
      <c r="F35" s="81"/>
      <c r="G35" s="166">
        <f t="shared" ref="G35:H37" si="6">G36</f>
        <v>16.799999999999997</v>
      </c>
      <c r="H35" s="166">
        <f t="shared" si="6"/>
        <v>7.5</v>
      </c>
      <c r="I35" s="166">
        <f t="shared" si="1"/>
        <v>9.2999999999999972</v>
      </c>
      <c r="J35" s="165">
        <f t="shared" si="2"/>
        <v>44.642857142857153</v>
      </c>
    </row>
    <row r="36" spans="1:10" s="11" customFormat="1" ht="22.5">
      <c r="A36" s="85" t="s">
        <v>93</v>
      </c>
      <c r="B36" s="83" t="s">
        <v>363</v>
      </c>
      <c r="C36" s="84" t="s">
        <v>65</v>
      </c>
      <c r="D36" s="84" t="s">
        <v>66</v>
      </c>
      <c r="E36" s="86">
        <v>600</v>
      </c>
      <c r="F36" s="81"/>
      <c r="G36" s="166">
        <f t="shared" si="6"/>
        <v>16.799999999999997</v>
      </c>
      <c r="H36" s="166">
        <f t="shared" si="6"/>
        <v>7.5</v>
      </c>
      <c r="I36" s="166">
        <f t="shared" si="1"/>
        <v>9.2999999999999972</v>
      </c>
      <c r="J36" s="165">
        <f t="shared" si="2"/>
        <v>44.642857142857153</v>
      </c>
    </row>
    <row r="37" spans="1:10" s="11" customFormat="1">
      <c r="A37" s="85" t="s">
        <v>97</v>
      </c>
      <c r="B37" s="83" t="s">
        <v>363</v>
      </c>
      <c r="C37" s="84" t="s">
        <v>65</v>
      </c>
      <c r="D37" s="84" t="s">
        <v>66</v>
      </c>
      <c r="E37" s="86">
        <v>610</v>
      </c>
      <c r="F37" s="81"/>
      <c r="G37" s="166">
        <f t="shared" si="6"/>
        <v>16.799999999999997</v>
      </c>
      <c r="H37" s="166">
        <f t="shared" si="6"/>
        <v>7.5</v>
      </c>
      <c r="I37" s="166">
        <f t="shared" si="1"/>
        <v>9.2999999999999972</v>
      </c>
      <c r="J37" s="165">
        <f t="shared" si="2"/>
        <v>44.642857142857153</v>
      </c>
    </row>
    <row r="38" spans="1:10" s="11" customFormat="1" ht="22.5">
      <c r="A38" s="82" t="s">
        <v>131</v>
      </c>
      <c r="B38" s="83" t="s">
        <v>363</v>
      </c>
      <c r="C38" s="84" t="s">
        <v>65</v>
      </c>
      <c r="D38" s="84" t="s">
        <v>66</v>
      </c>
      <c r="E38" s="86" t="s">
        <v>98</v>
      </c>
      <c r="F38" s="81">
        <v>725</v>
      </c>
      <c r="G38" s="166">
        <f>36.8-20</f>
        <v>16.799999999999997</v>
      </c>
      <c r="H38" s="166">
        <v>7.5</v>
      </c>
      <c r="I38" s="166">
        <f t="shared" si="1"/>
        <v>9.2999999999999972</v>
      </c>
      <c r="J38" s="165">
        <f t="shared" si="2"/>
        <v>44.642857142857153</v>
      </c>
    </row>
    <row r="39" spans="1:10" s="11" customFormat="1" ht="21">
      <c r="A39" s="89" t="s">
        <v>555</v>
      </c>
      <c r="B39" s="77" t="s">
        <v>561</v>
      </c>
      <c r="C39" s="80"/>
      <c r="D39" s="80"/>
      <c r="E39" s="88"/>
      <c r="F39" s="76"/>
      <c r="G39" s="163">
        <f>G40</f>
        <v>361</v>
      </c>
      <c r="H39" s="163">
        <f>H40</f>
        <v>360.9</v>
      </c>
      <c r="I39" s="166">
        <f t="shared" si="1"/>
        <v>0.10000000000002274</v>
      </c>
      <c r="J39" s="165">
        <f t="shared" si="2"/>
        <v>99.97229916897507</v>
      </c>
    </row>
    <row r="40" spans="1:10" s="11" customFormat="1" ht="21">
      <c r="A40" s="89" t="s">
        <v>7</v>
      </c>
      <c r="B40" s="77" t="s">
        <v>561</v>
      </c>
      <c r="C40" s="80" t="s">
        <v>65</v>
      </c>
      <c r="D40" s="80" t="s">
        <v>33</v>
      </c>
      <c r="E40" s="88"/>
      <c r="F40" s="76"/>
      <c r="G40" s="163">
        <f>G44</f>
        <v>361</v>
      </c>
      <c r="H40" s="163">
        <f>H44</f>
        <v>360.9</v>
      </c>
      <c r="I40" s="166">
        <f t="shared" si="1"/>
        <v>0.10000000000002274</v>
      </c>
      <c r="J40" s="165">
        <f t="shared" si="2"/>
        <v>99.97229916897507</v>
      </c>
    </row>
    <row r="41" spans="1:10" s="11" customFormat="1">
      <c r="A41" s="82" t="s">
        <v>9</v>
      </c>
      <c r="B41" s="83" t="s">
        <v>561</v>
      </c>
      <c r="C41" s="84" t="s">
        <v>65</v>
      </c>
      <c r="D41" s="84" t="s">
        <v>63</v>
      </c>
      <c r="E41" s="86"/>
      <c r="F41" s="81"/>
      <c r="G41" s="166">
        <f t="shared" ref="G41:H43" si="7">G42</f>
        <v>361</v>
      </c>
      <c r="H41" s="166">
        <f t="shared" si="7"/>
        <v>360.9</v>
      </c>
      <c r="I41" s="166">
        <f t="shared" si="1"/>
        <v>0.10000000000002274</v>
      </c>
      <c r="J41" s="165">
        <f t="shared" si="2"/>
        <v>99.97229916897507</v>
      </c>
    </row>
    <row r="42" spans="1:10" s="11" customFormat="1" ht="22.5">
      <c r="A42" s="85" t="s">
        <v>93</v>
      </c>
      <c r="B42" s="83" t="s">
        <v>561</v>
      </c>
      <c r="C42" s="84" t="s">
        <v>65</v>
      </c>
      <c r="D42" s="84" t="s">
        <v>63</v>
      </c>
      <c r="E42" s="86">
        <v>600</v>
      </c>
      <c r="F42" s="81"/>
      <c r="G42" s="166">
        <f t="shared" si="7"/>
        <v>361</v>
      </c>
      <c r="H42" s="166">
        <f t="shared" si="7"/>
        <v>360.9</v>
      </c>
      <c r="I42" s="166">
        <f t="shared" si="1"/>
        <v>0.10000000000002274</v>
      </c>
      <c r="J42" s="165">
        <f t="shared" si="2"/>
        <v>99.97229916897507</v>
      </c>
    </row>
    <row r="43" spans="1:10" s="11" customFormat="1">
      <c r="A43" s="85" t="s">
        <v>97</v>
      </c>
      <c r="B43" s="83" t="s">
        <v>561</v>
      </c>
      <c r="C43" s="84" t="s">
        <v>65</v>
      </c>
      <c r="D43" s="84" t="s">
        <v>63</v>
      </c>
      <c r="E43" s="86">
        <v>610</v>
      </c>
      <c r="F43" s="81"/>
      <c r="G43" s="166">
        <f t="shared" si="7"/>
        <v>361</v>
      </c>
      <c r="H43" s="166">
        <f t="shared" si="7"/>
        <v>360.9</v>
      </c>
      <c r="I43" s="166">
        <f t="shared" si="1"/>
        <v>0.10000000000002274</v>
      </c>
      <c r="J43" s="165">
        <f t="shared" si="2"/>
        <v>99.97229916897507</v>
      </c>
    </row>
    <row r="44" spans="1:10" s="11" customFormat="1" ht="22.5">
      <c r="A44" s="82" t="s">
        <v>131</v>
      </c>
      <c r="B44" s="83" t="s">
        <v>561</v>
      </c>
      <c r="C44" s="84" t="s">
        <v>65</v>
      </c>
      <c r="D44" s="84" t="s">
        <v>63</v>
      </c>
      <c r="E44" s="86" t="s">
        <v>98</v>
      </c>
      <c r="F44" s="81">
        <v>725</v>
      </c>
      <c r="G44" s="166">
        <f>500-139</f>
        <v>361</v>
      </c>
      <c r="H44" s="166">
        <v>360.9</v>
      </c>
      <c r="I44" s="166">
        <f t="shared" si="1"/>
        <v>0.10000000000002274</v>
      </c>
      <c r="J44" s="165">
        <f t="shared" si="2"/>
        <v>99.97229916897507</v>
      </c>
    </row>
    <row r="45" spans="1:10" s="58" customFormat="1" ht="32.25">
      <c r="A45" s="79" t="s">
        <v>664</v>
      </c>
      <c r="B45" s="77" t="s">
        <v>153</v>
      </c>
      <c r="C45" s="80"/>
      <c r="D45" s="80"/>
      <c r="E45" s="88"/>
      <c r="F45" s="76"/>
      <c r="G45" s="163">
        <f>G46+G56</f>
        <v>1750.5</v>
      </c>
      <c r="H45" s="163">
        <f>H46+H56</f>
        <v>1735.3999999999999</v>
      </c>
      <c r="I45" s="163">
        <f t="shared" si="1"/>
        <v>15.100000000000136</v>
      </c>
      <c r="J45" s="164">
        <f t="shared" si="2"/>
        <v>99.137389317337892</v>
      </c>
    </row>
    <row r="46" spans="1:10" s="58" customFormat="1" ht="32.25">
      <c r="A46" s="79" t="s">
        <v>187</v>
      </c>
      <c r="B46" s="77" t="s">
        <v>241</v>
      </c>
      <c r="C46" s="80"/>
      <c r="D46" s="80"/>
      <c r="E46" s="88"/>
      <c r="F46" s="76"/>
      <c r="G46" s="163">
        <f t="shared" ref="G46:H48" si="8">G47</f>
        <v>1633.3</v>
      </c>
      <c r="H46" s="163">
        <f t="shared" si="8"/>
        <v>1633.3</v>
      </c>
      <c r="I46" s="163">
        <f t="shared" si="1"/>
        <v>0</v>
      </c>
      <c r="J46" s="164">
        <f t="shared" si="2"/>
        <v>100</v>
      </c>
    </row>
    <row r="47" spans="1:10" s="58" customFormat="1" ht="21">
      <c r="A47" s="79" t="s">
        <v>152</v>
      </c>
      <c r="B47" s="77" t="s">
        <v>242</v>
      </c>
      <c r="C47" s="80"/>
      <c r="D47" s="80"/>
      <c r="E47" s="88"/>
      <c r="F47" s="76"/>
      <c r="G47" s="163">
        <f t="shared" si="8"/>
        <v>1633.3</v>
      </c>
      <c r="H47" s="163">
        <f t="shared" si="8"/>
        <v>1633.3</v>
      </c>
      <c r="I47" s="163">
        <f t="shared" si="1"/>
        <v>0</v>
      </c>
      <c r="J47" s="164">
        <f t="shared" si="2"/>
        <v>100</v>
      </c>
    </row>
    <row r="48" spans="1:10" s="58" customFormat="1" ht="21">
      <c r="A48" s="89" t="s">
        <v>7</v>
      </c>
      <c r="B48" s="77" t="s">
        <v>242</v>
      </c>
      <c r="C48" s="80" t="s">
        <v>65</v>
      </c>
      <c r="D48" s="80" t="s">
        <v>33</v>
      </c>
      <c r="E48" s="88"/>
      <c r="F48" s="76"/>
      <c r="G48" s="163">
        <f t="shared" si="8"/>
        <v>1633.3</v>
      </c>
      <c r="H48" s="163">
        <f t="shared" si="8"/>
        <v>1633.3</v>
      </c>
      <c r="I48" s="163">
        <f t="shared" si="1"/>
        <v>0</v>
      </c>
      <c r="J48" s="164">
        <f t="shared" si="2"/>
        <v>100</v>
      </c>
    </row>
    <row r="49" spans="1:10" s="11" customFormat="1">
      <c r="A49" s="87" t="s">
        <v>333</v>
      </c>
      <c r="B49" s="83" t="s">
        <v>242</v>
      </c>
      <c r="C49" s="84" t="s">
        <v>65</v>
      </c>
      <c r="D49" s="84" t="s">
        <v>65</v>
      </c>
      <c r="E49" s="86"/>
      <c r="F49" s="81"/>
      <c r="G49" s="166">
        <f>G53+G50</f>
        <v>1633.3</v>
      </c>
      <c r="H49" s="166">
        <f>H53+H50</f>
        <v>1633.3</v>
      </c>
      <c r="I49" s="166">
        <f t="shared" si="1"/>
        <v>0</v>
      </c>
      <c r="J49" s="165">
        <f t="shared" si="2"/>
        <v>100</v>
      </c>
    </row>
    <row r="50" spans="1:10" s="11" customFormat="1" ht="22.5">
      <c r="A50" s="85" t="s">
        <v>331</v>
      </c>
      <c r="B50" s="83" t="s">
        <v>242</v>
      </c>
      <c r="C50" s="84" t="s">
        <v>65</v>
      </c>
      <c r="D50" s="84" t="s">
        <v>65</v>
      </c>
      <c r="E50" s="86" t="s">
        <v>92</v>
      </c>
      <c r="F50" s="81"/>
      <c r="G50" s="166">
        <f>G51</f>
        <v>1524.8</v>
      </c>
      <c r="H50" s="166">
        <f>H51</f>
        <v>1524.8</v>
      </c>
      <c r="I50" s="166">
        <f t="shared" si="1"/>
        <v>0</v>
      </c>
      <c r="J50" s="165">
        <f t="shared" si="2"/>
        <v>100</v>
      </c>
    </row>
    <row r="51" spans="1:10" s="11" customFormat="1" ht="22.5">
      <c r="A51" s="85" t="s">
        <v>558</v>
      </c>
      <c r="B51" s="83" t="s">
        <v>242</v>
      </c>
      <c r="C51" s="84" t="s">
        <v>65</v>
      </c>
      <c r="D51" s="84" t="s">
        <v>65</v>
      </c>
      <c r="E51" s="86" t="s">
        <v>89</v>
      </c>
      <c r="F51" s="81"/>
      <c r="G51" s="166">
        <f>G52</f>
        <v>1524.8</v>
      </c>
      <c r="H51" s="166">
        <f>H52</f>
        <v>1524.8</v>
      </c>
      <c r="I51" s="166">
        <f t="shared" si="1"/>
        <v>0</v>
      </c>
      <c r="J51" s="165">
        <f t="shared" si="2"/>
        <v>100</v>
      </c>
    </row>
    <row r="52" spans="1:10" s="11" customFormat="1" ht="22.5">
      <c r="A52" s="82" t="s">
        <v>132</v>
      </c>
      <c r="B52" s="83" t="s">
        <v>242</v>
      </c>
      <c r="C52" s="84" t="s">
        <v>65</v>
      </c>
      <c r="D52" s="84" t="s">
        <v>65</v>
      </c>
      <c r="E52" s="86" t="s">
        <v>89</v>
      </c>
      <c r="F52" s="81">
        <v>726</v>
      </c>
      <c r="G52" s="166">
        <f>384.8+1140</f>
        <v>1524.8</v>
      </c>
      <c r="H52" s="166">
        <v>1524.8</v>
      </c>
      <c r="I52" s="166">
        <f t="shared" si="1"/>
        <v>0</v>
      </c>
      <c r="J52" s="165">
        <f t="shared" si="2"/>
        <v>100</v>
      </c>
    </row>
    <row r="53" spans="1:10" s="11" customFormat="1" ht="22.5">
      <c r="A53" s="85" t="s">
        <v>93</v>
      </c>
      <c r="B53" s="83" t="s">
        <v>242</v>
      </c>
      <c r="C53" s="84" t="s">
        <v>65</v>
      </c>
      <c r="D53" s="84" t="s">
        <v>65</v>
      </c>
      <c r="E53" s="86">
        <v>600</v>
      </c>
      <c r="F53" s="81"/>
      <c r="G53" s="166">
        <f>G54</f>
        <v>108.5</v>
      </c>
      <c r="H53" s="166">
        <f>H54</f>
        <v>108.5</v>
      </c>
      <c r="I53" s="166">
        <f t="shared" si="1"/>
        <v>0</v>
      </c>
      <c r="J53" s="165">
        <f t="shared" si="2"/>
        <v>100</v>
      </c>
    </row>
    <row r="54" spans="1:10" s="11" customFormat="1">
      <c r="A54" s="85" t="s">
        <v>97</v>
      </c>
      <c r="B54" s="83" t="s">
        <v>242</v>
      </c>
      <c r="C54" s="84" t="s">
        <v>65</v>
      </c>
      <c r="D54" s="84" t="s">
        <v>65</v>
      </c>
      <c r="E54" s="86">
        <v>610</v>
      </c>
      <c r="F54" s="81"/>
      <c r="G54" s="166">
        <f>G55</f>
        <v>108.5</v>
      </c>
      <c r="H54" s="166">
        <f>H55</f>
        <v>108.5</v>
      </c>
      <c r="I54" s="166">
        <f t="shared" si="1"/>
        <v>0</v>
      </c>
      <c r="J54" s="165">
        <f t="shared" si="2"/>
        <v>100</v>
      </c>
    </row>
    <row r="55" spans="1:10" s="11" customFormat="1" ht="22.5">
      <c r="A55" s="82" t="s">
        <v>131</v>
      </c>
      <c r="B55" s="83" t="s">
        <v>242</v>
      </c>
      <c r="C55" s="84" t="s">
        <v>65</v>
      </c>
      <c r="D55" s="84" t="s">
        <v>65</v>
      </c>
      <c r="E55" s="86" t="s">
        <v>98</v>
      </c>
      <c r="F55" s="81">
        <v>725</v>
      </c>
      <c r="G55" s="166">
        <v>108.5</v>
      </c>
      <c r="H55" s="166">
        <v>108.5</v>
      </c>
      <c r="I55" s="166">
        <f t="shared" si="1"/>
        <v>0</v>
      </c>
      <c r="J55" s="165">
        <f t="shared" si="2"/>
        <v>100</v>
      </c>
    </row>
    <row r="56" spans="1:10" s="11" customFormat="1" ht="32.25">
      <c r="A56" s="114" t="s">
        <v>547</v>
      </c>
      <c r="B56" s="77" t="s">
        <v>548</v>
      </c>
      <c r="C56" s="88"/>
      <c r="D56" s="88"/>
      <c r="E56" s="86"/>
      <c r="F56" s="81"/>
      <c r="G56" s="163">
        <f>G57+G63</f>
        <v>117.19999999999999</v>
      </c>
      <c r="H56" s="163">
        <f>H57+H63</f>
        <v>102.10000000000001</v>
      </c>
      <c r="I56" s="163">
        <f t="shared" si="1"/>
        <v>15.09999999999998</v>
      </c>
      <c r="J56" s="164">
        <f t="shared" si="2"/>
        <v>87.116040955631419</v>
      </c>
    </row>
    <row r="57" spans="1:10" s="11" customFormat="1" ht="21.75">
      <c r="A57" s="115" t="s">
        <v>549</v>
      </c>
      <c r="B57" s="88" t="s">
        <v>550</v>
      </c>
      <c r="C57" s="88"/>
      <c r="D57" s="88"/>
      <c r="E57" s="86"/>
      <c r="F57" s="81"/>
      <c r="G57" s="163">
        <f t="shared" ref="G57:H61" si="9">G58</f>
        <v>27.6</v>
      </c>
      <c r="H57" s="163">
        <f t="shared" si="9"/>
        <v>20.7</v>
      </c>
      <c r="I57" s="163">
        <f t="shared" si="1"/>
        <v>6.9000000000000021</v>
      </c>
      <c r="J57" s="164">
        <f t="shared" si="2"/>
        <v>74.999999999999986</v>
      </c>
    </row>
    <row r="58" spans="1:10" s="11" customFormat="1">
      <c r="A58" s="89" t="s">
        <v>58</v>
      </c>
      <c r="B58" s="88" t="s">
        <v>550</v>
      </c>
      <c r="C58" s="88" t="s">
        <v>67</v>
      </c>
      <c r="D58" s="88" t="s">
        <v>33</v>
      </c>
      <c r="E58" s="86"/>
      <c r="F58" s="81"/>
      <c r="G58" s="163">
        <f t="shared" si="9"/>
        <v>27.6</v>
      </c>
      <c r="H58" s="163">
        <f t="shared" si="9"/>
        <v>20.7</v>
      </c>
      <c r="I58" s="166">
        <f t="shared" si="1"/>
        <v>6.9000000000000021</v>
      </c>
      <c r="J58" s="165">
        <f t="shared" si="2"/>
        <v>74.999999999999986</v>
      </c>
    </row>
    <row r="59" spans="1:10" s="11" customFormat="1">
      <c r="A59" s="116" t="s">
        <v>57</v>
      </c>
      <c r="B59" s="86" t="s">
        <v>550</v>
      </c>
      <c r="C59" s="86" t="s">
        <v>67</v>
      </c>
      <c r="D59" s="86" t="s">
        <v>66</v>
      </c>
      <c r="E59" s="86"/>
      <c r="F59" s="86"/>
      <c r="G59" s="166">
        <f t="shared" si="9"/>
        <v>27.6</v>
      </c>
      <c r="H59" s="166">
        <f t="shared" si="9"/>
        <v>20.7</v>
      </c>
      <c r="I59" s="166">
        <f t="shared" si="1"/>
        <v>6.9000000000000021</v>
      </c>
      <c r="J59" s="165">
        <f t="shared" si="2"/>
        <v>74.999999999999986</v>
      </c>
    </row>
    <row r="60" spans="1:10" s="11" customFormat="1">
      <c r="A60" s="117" t="s">
        <v>99</v>
      </c>
      <c r="B60" s="86" t="s">
        <v>550</v>
      </c>
      <c r="C60" s="86" t="s">
        <v>67</v>
      </c>
      <c r="D60" s="86" t="s">
        <v>66</v>
      </c>
      <c r="E60" s="86" t="s">
        <v>100</v>
      </c>
      <c r="F60" s="86"/>
      <c r="G60" s="166">
        <f t="shared" si="9"/>
        <v>27.6</v>
      </c>
      <c r="H60" s="166">
        <f t="shared" si="9"/>
        <v>20.7</v>
      </c>
      <c r="I60" s="166">
        <f t="shared" si="1"/>
        <v>6.9000000000000021</v>
      </c>
      <c r="J60" s="165">
        <f t="shared" si="2"/>
        <v>74.999999999999986</v>
      </c>
    </row>
    <row r="61" spans="1:10" s="11" customFormat="1">
      <c r="A61" s="117" t="s">
        <v>103</v>
      </c>
      <c r="B61" s="86" t="s">
        <v>550</v>
      </c>
      <c r="C61" s="86" t="s">
        <v>67</v>
      </c>
      <c r="D61" s="86" t="s">
        <v>66</v>
      </c>
      <c r="E61" s="86" t="s">
        <v>104</v>
      </c>
      <c r="F61" s="86"/>
      <c r="G61" s="166">
        <f t="shared" si="9"/>
        <v>27.6</v>
      </c>
      <c r="H61" s="166">
        <f t="shared" si="9"/>
        <v>20.7</v>
      </c>
      <c r="I61" s="166">
        <f t="shared" si="1"/>
        <v>6.9000000000000021</v>
      </c>
      <c r="J61" s="165">
        <f t="shared" si="2"/>
        <v>74.999999999999986</v>
      </c>
    </row>
    <row r="62" spans="1:10" s="11" customFormat="1">
      <c r="A62" s="82" t="s">
        <v>128</v>
      </c>
      <c r="B62" s="86" t="s">
        <v>550</v>
      </c>
      <c r="C62" s="86" t="s">
        <v>67</v>
      </c>
      <c r="D62" s="86" t="s">
        <v>66</v>
      </c>
      <c r="E62" s="86" t="s">
        <v>104</v>
      </c>
      <c r="F62" s="86" t="s">
        <v>268</v>
      </c>
      <c r="G62" s="170">
        <v>27.6</v>
      </c>
      <c r="H62" s="170">
        <v>20.7</v>
      </c>
      <c r="I62" s="166">
        <f t="shared" si="1"/>
        <v>6.9000000000000021</v>
      </c>
      <c r="J62" s="165">
        <f t="shared" si="2"/>
        <v>74.999999999999986</v>
      </c>
    </row>
    <row r="63" spans="1:10" s="11" customFormat="1" ht="21.75">
      <c r="A63" s="115" t="s">
        <v>551</v>
      </c>
      <c r="B63" s="88" t="s">
        <v>552</v>
      </c>
      <c r="C63" s="88"/>
      <c r="D63" s="86"/>
      <c r="E63" s="86"/>
      <c r="F63" s="86"/>
      <c r="G63" s="163">
        <f>G65</f>
        <v>89.6</v>
      </c>
      <c r="H63" s="163">
        <f>H65</f>
        <v>81.400000000000006</v>
      </c>
      <c r="I63" s="163">
        <f t="shared" si="1"/>
        <v>8.1999999999999886</v>
      </c>
      <c r="J63" s="164">
        <f t="shared" si="2"/>
        <v>90.848214285714306</v>
      </c>
    </row>
    <row r="64" spans="1:10" s="11" customFormat="1">
      <c r="A64" s="89" t="s">
        <v>58</v>
      </c>
      <c r="B64" s="88" t="s">
        <v>552</v>
      </c>
      <c r="C64" s="88" t="s">
        <v>67</v>
      </c>
      <c r="D64" s="88" t="s">
        <v>33</v>
      </c>
      <c r="E64" s="86"/>
      <c r="F64" s="86"/>
      <c r="G64" s="163">
        <f t="shared" ref="G64:H67" si="10">G65</f>
        <v>89.6</v>
      </c>
      <c r="H64" s="163">
        <f t="shared" si="10"/>
        <v>81.400000000000006</v>
      </c>
      <c r="I64" s="163">
        <f t="shared" si="1"/>
        <v>8.1999999999999886</v>
      </c>
      <c r="J64" s="164">
        <f t="shared" si="2"/>
        <v>90.848214285714306</v>
      </c>
    </row>
    <row r="65" spans="1:10" s="11" customFormat="1">
      <c r="A65" s="116" t="s">
        <v>57</v>
      </c>
      <c r="B65" s="86" t="s">
        <v>552</v>
      </c>
      <c r="C65" s="86" t="s">
        <v>67</v>
      </c>
      <c r="D65" s="86" t="s">
        <v>66</v>
      </c>
      <c r="E65" s="86"/>
      <c r="F65" s="86"/>
      <c r="G65" s="166">
        <f t="shared" si="10"/>
        <v>89.6</v>
      </c>
      <c r="H65" s="166">
        <f t="shared" si="10"/>
        <v>81.400000000000006</v>
      </c>
      <c r="I65" s="166">
        <f t="shared" si="1"/>
        <v>8.1999999999999886</v>
      </c>
      <c r="J65" s="165">
        <f t="shared" si="2"/>
        <v>90.848214285714306</v>
      </c>
    </row>
    <row r="66" spans="1:10" s="11" customFormat="1">
      <c r="A66" s="117" t="s">
        <v>99</v>
      </c>
      <c r="B66" s="86" t="s">
        <v>552</v>
      </c>
      <c r="C66" s="86" t="s">
        <v>67</v>
      </c>
      <c r="D66" s="86" t="s">
        <v>66</v>
      </c>
      <c r="E66" s="86" t="s">
        <v>100</v>
      </c>
      <c r="F66" s="86"/>
      <c r="G66" s="166">
        <f t="shared" si="10"/>
        <v>89.6</v>
      </c>
      <c r="H66" s="166">
        <f t="shared" si="10"/>
        <v>81.400000000000006</v>
      </c>
      <c r="I66" s="166">
        <f t="shared" si="1"/>
        <v>8.1999999999999886</v>
      </c>
      <c r="J66" s="165">
        <f t="shared" si="2"/>
        <v>90.848214285714306</v>
      </c>
    </row>
    <row r="67" spans="1:10" s="11" customFormat="1">
      <c r="A67" s="117" t="s">
        <v>103</v>
      </c>
      <c r="B67" s="86" t="s">
        <v>552</v>
      </c>
      <c r="C67" s="86" t="s">
        <v>67</v>
      </c>
      <c r="D67" s="86" t="s">
        <v>66</v>
      </c>
      <c r="E67" s="86" t="s">
        <v>104</v>
      </c>
      <c r="F67" s="86"/>
      <c r="G67" s="166">
        <f t="shared" si="10"/>
        <v>89.6</v>
      </c>
      <c r="H67" s="166">
        <f t="shared" si="10"/>
        <v>81.400000000000006</v>
      </c>
      <c r="I67" s="166">
        <f t="shared" si="1"/>
        <v>8.1999999999999886</v>
      </c>
      <c r="J67" s="165">
        <f t="shared" si="2"/>
        <v>90.848214285714306</v>
      </c>
    </row>
    <row r="68" spans="1:10" s="11" customFormat="1">
      <c r="A68" s="82" t="s">
        <v>128</v>
      </c>
      <c r="B68" s="86" t="s">
        <v>552</v>
      </c>
      <c r="C68" s="86" t="s">
        <v>67</v>
      </c>
      <c r="D68" s="86" t="s">
        <v>66</v>
      </c>
      <c r="E68" s="86" t="s">
        <v>104</v>
      </c>
      <c r="F68" s="86" t="s">
        <v>268</v>
      </c>
      <c r="G68" s="170">
        <v>89.6</v>
      </c>
      <c r="H68" s="170">
        <v>81.400000000000006</v>
      </c>
      <c r="I68" s="166">
        <f t="shared" si="1"/>
        <v>8.1999999999999886</v>
      </c>
      <c r="J68" s="165">
        <f t="shared" si="2"/>
        <v>90.848214285714306</v>
      </c>
    </row>
    <row r="69" spans="1:10" s="58" customFormat="1" ht="42.75">
      <c r="A69" s="79" t="s">
        <v>665</v>
      </c>
      <c r="B69" s="77" t="s">
        <v>137</v>
      </c>
      <c r="C69" s="80"/>
      <c r="D69" s="80"/>
      <c r="E69" s="88"/>
      <c r="F69" s="76"/>
      <c r="G69" s="163">
        <f>G70+G82</f>
        <v>34297.799999999996</v>
      </c>
      <c r="H69" s="163">
        <f>H70+H82</f>
        <v>34294.400000000001</v>
      </c>
      <c r="I69" s="163">
        <f t="shared" si="1"/>
        <v>3.3999999999941792</v>
      </c>
      <c r="J69" s="164">
        <f t="shared" si="2"/>
        <v>99.990086827726572</v>
      </c>
    </row>
    <row r="70" spans="1:10" s="58" customFormat="1" ht="21.75">
      <c r="A70" s="79" t="s">
        <v>197</v>
      </c>
      <c r="B70" s="77" t="s">
        <v>229</v>
      </c>
      <c r="C70" s="80"/>
      <c r="D70" s="80"/>
      <c r="E70" s="88"/>
      <c r="F70" s="76"/>
      <c r="G70" s="163">
        <f t="shared" ref="G70:H75" si="11">G71</f>
        <v>5332.9</v>
      </c>
      <c r="H70" s="163">
        <f t="shared" si="11"/>
        <v>5332.8</v>
      </c>
      <c r="I70" s="163">
        <f t="shared" si="1"/>
        <v>9.9999999999454303E-2</v>
      </c>
      <c r="J70" s="164">
        <f t="shared" si="2"/>
        <v>99.998124847643879</v>
      </c>
    </row>
    <row r="71" spans="1:10" s="58" customFormat="1">
      <c r="A71" s="89" t="s">
        <v>330</v>
      </c>
      <c r="B71" s="77" t="s">
        <v>326</v>
      </c>
      <c r="C71" s="80"/>
      <c r="D71" s="80"/>
      <c r="E71" s="88"/>
      <c r="F71" s="76"/>
      <c r="G71" s="163">
        <f>G72+G77</f>
        <v>5332.9</v>
      </c>
      <c r="H71" s="163">
        <f>H72+H77</f>
        <v>5332.8</v>
      </c>
      <c r="I71" s="163">
        <f t="shared" si="1"/>
        <v>9.9999999999454303E-2</v>
      </c>
      <c r="J71" s="164">
        <f t="shared" si="2"/>
        <v>99.998124847643879</v>
      </c>
    </row>
    <row r="72" spans="1:10" s="58" customFormat="1">
      <c r="A72" s="90" t="s">
        <v>126</v>
      </c>
      <c r="B72" s="77" t="s">
        <v>326</v>
      </c>
      <c r="C72" s="80" t="s">
        <v>68</v>
      </c>
      <c r="D72" s="80" t="s">
        <v>33</v>
      </c>
      <c r="E72" s="88"/>
      <c r="F72" s="76"/>
      <c r="G72" s="163">
        <f t="shared" si="11"/>
        <v>4475</v>
      </c>
      <c r="H72" s="163">
        <f t="shared" si="11"/>
        <v>4475</v>
      </c>
      <c r="I72" s="163">
        <f t="shared" si="1"/>
        <v>0</v>
      </c>
      <c r="J72" s="164">
        <f t="shared" si="2"/>
        <v>100</v>
      </c>
    </row>
    <row r="73" spans="1:10" s="11" customFormat="1">
      <c r="A73" s="85" t="s">
        <v>125</v>
      </c>
      <c r="B73" s="83" t="s">
        <v>326</v>
      </c>
      <c r="C73" s="84" t="s">
        <v>68</v>
      </c>
      <c r="D73" s="84" t="s">
        <v>62</v>
      </c>
      <c r="E73" s="86"/>
      <c r="F73" s="81"/>
      <c r="G73" s="166">
        <f t="shared" si="11"/>
        <v>4475</v>
      </c>
      <c r="H73" s="166">
        <f t="shared" si="11"/>
        <v>4475</v>
      </c>
      <c r="I73" s="166">
        <f t="shared" ref="I73:I136" si="12">G73-H73</f>
        <v>0</v>
      </c>
      <c r="J73" s="165">
        <f t="shared" ref="J73:J136" si="13">H73/G73*100</f>
        <v>100</v>
      </c>
    </row>
    <row r="74" spans="1:10" s="11" customFormat="1" ht="22.5">
      <c r="A74" s="85" t="s">
        <v>331</v>
      </c>
      <c r="B74" s="83" t="s">
        <v>326</v>
      </c>
      <c r="C74" s="84" t="s">
        <v>68</v>
      </c>
      <c r="D74" s="84" t="s">
        <v>62</v>
      </c>
      <c r="E74" s="86" t="s">
        <v>92</v>
      </c>
      <c r="F74" s="81"/>
      <c r="G74" s="166">
        <f t="shared" si="11"/>
        <v>4475</v>
      </c>
      <c r="H74" s="166">
        <f t="shared" si="11"/>
        <v>4475</v>
      </c>
      <c r="I74" s="166">
        <f t="shared" si="12"/>
        <v>0</v>
      </c>
      <c r="J74" s="165">
        <f t="shared" si="13"/>
        <v>100</v>
      </c>
    </row>
    <row r="75" spans="1:10" s="11" customFormat="1" ht="22.5">
      <c r="A75" s="85" t="s">
        <v>558</v>
      </c>
      <c r="B75" s="83" t="s">
        <v>326</v>
      </c>
      <c r="C75" s="84" t="s">
        <v>68</v>
      </c>
      <c r="D75" s="84" t="s">
        <v>62</v>
      </c>
      <c r="E75" s="86" t="s">
        <v>89</v>
      </c>
      <c r="F75" s="81"/>
      <c r="G75" s="166">
        <f t="shared" si="11"/>
        <v>4475</v>
      </c>
      <c r="H75" s="166">
        <f t="shared" si="11"/>
        <v>4475</v>
      </c>
      <c r="I75" s="166">
        <f t="shared" si="12"/>
        <v>0</v>
      </c>
      <c r="J75" s="165">
        <f t="shared" si="13"/>
        <v>100</v>
      </c>
    </row>
    <row r="76" spans="1:10" s="11" customFormat="1" ht="22.5">
      <c r="A76" s="85" t="s">
        <v>318</v>
      </c>
      <c r="B76" s="83" t="s">
        <v>326</v>
      </c>
      <c r="C76" s="84" t="s">
        <v>68</v>
      </c>
      <c r="D76" s="84" t="s">
        <v>62</v>
      </c>
      <c r="E76" s="86" t="s">
        <v>89</v>
      </c>
      <c r="F76" s="81">
        <v>727</v>
      </c>
      <c r="G76" s="166">
        <f>6216.4-1741.4</f>
        <v>4475</v>
      </c>
      <c r="H76" s="166">
        <v>4475</v>
      </c>
      <c r="I76" s="166">
        <f t="shared" si="12"/>
        <v>0</v>
      </c>
      <c r="J76" s="165">
        <f t="shared" si="13"/>
        <v>100</v>
      </c>
    </row>
    <row r="77" spans="1:10" s="58" customFormat="1">
      <c r="A77" s="89" t="s">
        <v>58</v>
      </c>
      <c r="B77" s="77" t="s">
        <v>326</v>
      </c>
      <c r="C77" s="80" t="s">
        <v>67</v>
      </c>
      <c r="D77" s="80" t="s">
        <v>33</v>
      </c>
      <c r="E77" s="88"/>
      <c r="F77" s="76"/>
      <c r="G77" s="163">
        <f t="shared" ref="G77:H80" si="14">G78</f>
        <v>857.9</v>
      </c>
      <c r="H77" s="163">
        <f t="shared" si="14"/>
        <v>857.8</v>
      </c>
      <c r="I77" s="163">
        <f t="shared" si="12"/>
        <v>0.10000000000002274</v>
      </c>
      <c r="J77" s="164">
        <f t="shared" si="13"/>
        <v>99.988343629793675</v>
      </c>
    </row>
    <row r="78" spans="1:10" s="11" customFormat="1">
      <c r="A78" s="116" t="s">
        <v>57</v>
      </c>
      <c r="B78" s="83" t="s">
        <v>326</v>
      </c>
      <c r="C78" s="84" t="s">
        <v>67</v>
      </c>
      <c r="D78" s="84" t="s">
        <v>66</v>
      </c>
      <c r="E78" s="86"/>
      <c r="F78" s="81"/>
      <c r="G78" s="166">
        <f t="shared" si="14"/>
        <v>857.9</v>
      </c>
      <c r="H78" s="166">
        <f t="shared" si="14"/>
        <v>857.8</v>
      </c>
      <c r="I78" s="166">
        <f t="shared" si="12"/>
        <v>0.10000000000002274</v>
      </c>
      <c r="J78" s="165">
        <f t="shared" si="13"/>
        <v>99.988343629793675</v>
      </c>
    </row>
    <row r="79" spans="1:10" s="11" customFormat="1">
      <c r="A79" s="85" t="s">
        <v>108</v>
      </c>
      <c r="B79" s="83" t="s">
        <v>326</v>
      </c>
      <c r="C79" s="84" t="s">
        <v>67</v>
      </c>
      <c r="D79" s="84" t="s">
        <v>66</v>
      </c>
      <c r="E79" s="86" t="s">
        <v>109</v>
      </c>
      <c r="F79" s="81"/>
      <c r="G79" s="166">
        <f t="shared" si="14"/>
        <v>857.9</v>
      </c>
      <c r="H79" s="166">
        <f t="shared" si="14"/>
        <v>857.8</v>
      </c>
      <c r="I79" s="166">
        <f t="shared" si="12"/>
        <v>0.10000000000002274</v>
      </c>
      <c r="J79" s="165">
        <f t="shared" si="13"/>
        <v>99.988343629793675</v>
      </c>
    </row>
    <row r="80" spans="1:10" s="11" customFormat="1">
      <c r="A80" s="85" t="s">
        <v>111</v>
      </c>
      <c r="B80" s="83" t="s">
        <v>326</v>
      </c>
      <c r="C80" s="84" t="s">
        <v>67</v>
      </c>
      <c r="D80" s="84" t="s">
        <v>66</v>
      </c>
      <c r="E80" s="86" t="s">
        <v>112</v>
      </c>
      <c r="F80" s="81"/>
      <c r="G80" s="166">
        <f t="shared" si="14"/>
        <v>857.9</v>
      </c>
      <c r="H80" s="166">
        <f t="shared" si="14"/>
        <v>857.8</v>
      </c>
      <c r="I80" s="166">
        <f t="shared" si="12"/>
        <v>0.10000000000002274</v>
      </c>
      <c r="J80" s="165">
        <f t="shared" si="13"/>
        <v>99.988343629793675</v>
      </c>
    </row>
    <row r="81" spans="1:10" s="11" customFormat="1">
      <c r="A81" s="85" t="s">
        <v>128</v>
      </c>
      <c r="B81" s="83" t="s">
        <v>326</v>
      </c>
      <c r="C81" s="84" t="s">
        <v>67</v>
      </c>
      <c r="D81" s="84" t="s">
        <v>66</v>
      </c>
      <c r="E81" s="86" t="s">
        <v>112</v>
      </c>
      <c r="F81" s="81">
        <v>721</v>
      </c>
      <c r="G81" s="166">
        <v>857.9</v>
      </c>
      <c r="H81" s="166">
        <v>857.8</v>
      </c>
      <c r="I81" s="166">
        <f t="shared" si="12"/>
        <v>0.10000000000002274</v>
      </c>
      <c r="J81" s="165">
        <f t="shared" si="13"/>
        <v>99.988343629793675</v>
      </c>
    </row>
    <row r="82" spans="1:10" s="11" customFormat="1" ht="42.75">
      <c r="A82" s="79" t="s">
        <v>690</v>
      </c>
      <c r="B82" s="77" t="s">
        <v>625</v>
      </c>
      <c r="C82" s="80"/>
      <c r="D82" s="80"/>
      <c r="E82" s="88"/>
      <c r="F82" s="76"/>
      <c r="G82" s="163">
        <f>G83+G92</f>
        <v>28964.899999999998</v>
      </c>
      <c r="H82" s="163">
        <f>H83+H92</f>
        <v>28961.600000000002</v>
      </c>
      <c r="I82" s="163">
        <f t="shared" si="12"/>
        <v>3.2999999999956344</v>
      </c>
      <c r="J82" s="164">
        <f t="shared" si="13"/>
        <v>99.988606900075624</v>
      </c>
    </row>
    <row r="83" spans="1:10" s="11" customFormat="1" ht="42.75">
      <c r="A83" s="79" t="s">
        <v>695</v>
      </c>
      <c r="B83" s="77" t="s">
        <v>641</v>
      </c>
      <c r="C83" s="80"/>
      <c r="D83" s="80"/>
      <c r="E83" s="88"/>
      <c r="F83" s="76"/>
      <c r="G83" s="163">
        <f>G84</f>
        <v>28385.599999999999</v>
      </c>
      <c r="H83" s="163">
        <f>H84</f>
        <v>28382.400000000001</v>
      </c>
      <c r="I83" s="163">
        <f t="shared" si="12"/>
        <v>3.1999999999970896</v>
      </c>
      <c r="J83" s="164">
        <f t="shared" si="13"/>
        <v>99.988726678315771</v>
      </c>
    </row>
    <row r="84" spans="1:10" s="11" customFormat="1">
      <c r="A84" s="89" t="s">
        <v>58</v>
      </c>
      <c r="B84" s="77" t="s">
        <v>641</v>
      </c>
      <c r="C84" s="80" t="s">
        <v>67</v>
      </c>
      <c r="D84" s="80" t="s">
        <v>33</v>
      </c>
      <c r="E84" s="88"/>
      <c r="F84" s="76"/>
      <c r="G84" s="163">
        <f>G85</f>
        <v>28385.599999999999</v>
      </c>
      <c r="H84" s="163">
        <f>H85</f>
        <v>28382.400000000001</v>
      </c>
      <c r="I84" s="163">
        <f t="shared" si="12"/>
        <v>3.1999999999970896</v>
      </c>
      <c r="J84" s="164">
        <f t="shared" si="13"/>
        <v>99.988726678315771</v>
      </c>
    </row>
    <row r="85" spans="1:10" s="11" customFormat="1">
      <c r="A85" s="116" t="s">
        <v>57</v>
      </c>
      <c r="B85" s="83" t="s">
        <v>641</v>
      </c>
      <c r="C85" s="84" t="s">
        <v>67</v>
      </c>
      <c r="D85" s="84" t="s">
        <v>66</v>
      </c>
      <c r="E85" s="86"/>
      <c r="F85" s="81"/>
      <c r="G85" s="166">
        <f>G86+G89</f>
        <v>28385.599999999999</v>
      </c>
      <c r="H85" s="166">
        <f>H86+H89</f>
        <v>28382.400000000001</v>
      </c>
      <c r="I85" s="166">
        <f t="shared" si="12"/>
        <v>3.1999999999970896</v>
      </c>
      <c r="J85" s="165">
        <f t="shared" si="13"/>
        <v>99.988726678315771</v>
      </c>
    </row>
    <row r="86" spans="1:10" s="11" customFormat="1" ht="22.5">
      <c r="A86" s="85" t="s">
        <v>331</v>
      </c>
      <c r="B86" s="83" t="s">
        <v>641</v>
      </c>
      <c r="C86" s="84" t="s">
        <v>67</v>
      </c>
      <c r="D86" s="84" t="s">
        <v>66</v>
      </c>
      <c r="E86" s="86" t="s">
        <v>92</v>
      </c>
      <c r="F86" s="81"/>
      <c r="G86" s="166">
        <f>G87</f>
        <v>14653.3</v>
      </c>
      <c r="H86" s="166">
        <f>H87</f>
        <v>14653.3</v>
      </c>
      <c r="I86" s="166">
        <f t="shared" si="12"/>
        <v>0</v>
      </c>
      <c r="J86" s="165">
        <f t="shared" si="13"/>
        <v>100</v>
      </c>
    </row>
    <row r="87" spans="1:10" s="11" customFormat="1" ht="22.5">
      <c r="A87" s="85" t="s">
        <v>558</v>
      </c>
      <c r="B87" s="83" t="s">
        <v>641</v>
      </c>
      <c r="C87" s="84" t="s">
        <v>67</v>
      </c>
      <c r="D87" s="84" t="s">
        <v>66</v>
      </c>
      <c r="E87" s="86" t="s">
        <v>89</v>
      </c>
      <c r="F87" s="81"/>
      <c r="G87" s="166">
        <f>G88</f>
        <v>14653.3</v>
      </c>
      <c r="H87" s="166">
        <f>H88</f>
        <v>14653.3</v>
      </c>
      <c r="I87" s="166">
        <f t="shared" si="12"/>
        <v>0</v>
      </c>
      <c r="J87" s="165">
        <f t="shared" si="13"/>
        <v>100</v>
      </c>
    </row>
    <row r="88" spans="1:10" s="11" customFormat="1">
      <c r="A88" s="85" t="s">
        <v>128</v>
      </c>
      <c r="B88" s="83" t="s">
        <v>641</v>
      </c>
      <c r="C88" s="84" t="s">
        <v>67</v>
      </c>
      <c r="D88" s="84" t="s">
        <v>66</v>
      </c>
      <c r="E88" s="86" t="s">
        <v>89</v>
      </c>
      <c r="F88" s="81">
        <v>721</v>
      </c>
      <c r="G88" s="166">
        <f>5241.8+8573.8+837.7</f>
        <v>14653.3</v>
      </c>
      <c r="H88" s="166">
        <v>14653.3</v>
      </c>
      <c r="I88" s="166">
        <f t="shared" si="12"/>
        <v>0</v>
      </c>
      <c r="J88" s="165">
        <f t="shared" si="13"/>
        <v>100</v>
      </c>
    </row>
    <row r="89" spans="1:10" s="11" customFormat="1">
      <c r="A89" s="85" t="s">
        <v>108</v>
      </c>
      <c r="B89" s="83" t="s">
        <v>641</v>
      </c>
      <c r="C89" s="84" t="s">
        <v>67</v>
      </c>
      <c r="D89" s="84" t="s">
        <v>66</v>
      </c>
      <c r="E89" s="86" t="s">
        <v>109</v>
      </c>
      <c r="F89" s="81"/>
      <c r="G89" s="166">
        <f>G90</f>
        <v>13732.3</v>
      </c>
      <c r="H89" s="166">
        <f>H90</f>
        <v>13729.1</v>
      </c>
      <c r="I89" s="166">
        <f t="shared" si="12"/>
        <v>3.1999999999989086</v>
      </c>
      <c r="J89" s="165">
        <f t="shared" si="13"/>
        <v>99.9766972757659</v>
      </c>
    </row>
    <row r="90" spans="1:10" s="11" customFormat="1">
      <c r="A90" s="85" t="s">
        <v>111</v>
      </c>
      <c r="B90" s="83" t="s">
        <v>641</v>
      </c>
      <c r="C90" s="84" t="s">
        <v>67</v>
      </c>
      <c r="D90" s="84" t="s">
        <v>66</v>
      </c>
      <c r="E90" s="86" t="s">
        <v>112</v>
      </c>
      <c r="F90" s="81"/>
      <c r="G90" s="166">
        <f>G91</f>
        <v>13732.3</v>
      </c>
      <c r="H90" s="166">
        <f>H91</f>
        <v>13729.1</v>
      </c>
      <c r="I90" s="166">
        <f t="shared" si="12"/>
        <v>3.1999999999989086</v>
      </c>
      <c r="J90" s="165">
        <f t="shared" si="13"/>
        <v>99.9766972757659</v>
      </c>
    </row>
    <row r="91" spans="1:10" s="11" customFormat="1">
      <c r="A91" s="85" t="s">
        <v>128</v>
      </c>
      <c r="B91" s="83" t="s">
        <v>641</v>
      </c>
      <c r="C91" s="84" t="s">
        <v>67</v>
      </c>
      <c r="D91" s="84" t="s">
        <v>66</v>
      </c>
      <c r="E91" s="86" t="s">
        <v>112</v>
      </c>
      <c r="F91" s="81">
        <v>721</v>
      </c>
      <c r="G91" s="166">
        <f>23143.8-9411.5</f>
        <v>13732.3</v>
      </c>
      <c r="H91" s="166">
        <v>13729.1</v>
      </c>
      <c r="I91" s="166">
        <f t="shared" si="12"/>
        <v>3.1999999999989086</v>
      </c>
      <c r="J91" s="165">
        <f t="shared" si="13"/>
        <v>99.9766972757659</v>
      </c>
    </row>
    <row r="92" spans="1:10" s="11" customFormat="1" ht="32.25">
      <c r="A92" s="79" t="s">
        <v>626</v>
      </c>
      <c r="B92" s="77" t="s">
        <v>642</v>
      </c>
      <c r="C92" s="80"/>
      <c r="D92" s="80"/>
      <c r="E92" s="88"/>
      <c r="F92" s="76"/>
      <c r="G92" s="163">
        <f>G93</f>
        <v>579.29999999999995</v>
      </c>
      <c r="H92" s="163">
        <f>H93</f>
        <v>579.20000000000005</v>
      </c>
      <c r="I92" s="163">
        <f t="shared" si="12"/>
        <v>9.9999999999909051E-2</v>
      </c>
      <c r="J92" s="164">
        <f t="shared" si="13"/>
        <v>99.982737786984316</v>
      </c>
    </row>
    <row r="93" spans="1:10" s="11" customFormat="1">
      <c r="A93" s="89" t="s">
        <v>58</v>
      </c>
      <c r="B93" s="77" t="s">
        <v>642</v>
      </c>
      <c r="C93" s="80" t="s">
        <v>67</v>
      </c>
      <c r="D93" s="80" t="s">
        <v>33</v>
      </c>
      <c r="E93" s="88"/>
      <c r="F93" s="76"/>
      <c r="G93" s="163">
        <f>G94</f>
        <v>579.29999999999995</v>
      </c>
      <c r="H93" s="163">
        <f>H94</f>
        <v>579.20000000000005</v>
      </c>
      <c r="I93" s="163">
        <f t="shared" si="12"/>
        <v>9.9999999999909051E-2</v>
      </c>
      <c r="J93" s="164">
        <f t="shared" si="13"/>
        <v>99.982737786984316</v>
      </c>
    </row>
    <row r="94" spans="1:10" s="11" customFormat="1">
      <c r="A94" s="116" t="s">
        <v>57</v>
      </c>
      <c r="B94" s="83" t="s">
        <v>642</v>
      </c>
      <c r="C94" s="84" t="s">
        <v>67</v>
      </c>
      <c r="D94" s="84" t="s">
        <v>66</v>
      </c>
      <c r="E94" s="86"/>
      <c r="F94" s="81"/>
      <c r="G94" s="166">
        <f>G95+G98</f>
        <v>579.29999999999995</v>
      </c>
      <c r="H94" s="166">
        <f>H95+H98</f>
        <v>579.20000000000005</v>
      </c>
      <c r="I94" s="166">
        <f t="shared" si="12"/>
        <v>9.9999999999909051E-2</v>
      </c>
      <c r="J94" s="165">
        <f t="shared" si="13"/>
        <v>99.982737786984316</v>
      </c>
    </row>
    <row r="95" spans="1:10" s="11" customFormat="1" ht="22.5">
      <c r="A95" s="85" t="s">
        <v>331</v>
      </c>
      <c r="B95" s="83" t="s">
        <v>642</v>
      </c>
      <c r="C95" s="84" t="s">
        <v>67</v>
      </c>
      <c r="D95" s="84" t="s">
        <v>66</v>
      </c>
      <c r="E95" s="86" t="s">
        <v>92</v>
      </c>
      <c r="F95" s="81"/>
      <c r="G95" s="166">
        <f>G96</f>
        <v>299</v>
      </c>
      <c r="H95" s="166">
        <f>H96</f>
        <v>299</v>
      </c>
      <c r="I95" s="166">
        <f t="shared" si="12"/>
        <v>0</v>
      </c>
      <c r="J95" s="165">
        <f t="shared" si="13"/>
        <v>100</v>
      </c>
    </row>
    <row r="96" spans="1:10" s="11" customFormat="1" ht="22.5">
      <c r="A96" s="85" t="s">
        <v>558</v>
      </c>
      <c r="B96" s="83" t="s">
        <v>642</v>
      </c>
      <c r="C96" s="84" t="s">
        <v>67</v>
      </c>
      <c r="D96" s="84" t="s">
        <v>66</v>
      </c>
      <c r="E96" s="86" t="s">
        <v>89</v>
      </c>
      <c r="F96" s="81"/>
      <c r="G96" s="166">
        <f>G97</f>
        <v>299</v>
      </c>
      <c r="H96" s="166">
        <f>H97</f>
        <v>299</v>
      </c>
      <c r="I96" s="166">
        <f t="shared" si="12"/>
        <v>0</v>
      </c>
      <c r="J96" s="165">
        <f t="shared" si="13"/>
        <v>100</v>
      </c>
    </row>
    <row r="97" spans="1:10" s="11" customFormat="1">
      <c r="A97" s="85" t="s">
        <v>128</v>
      </c>
      <c r="B97" s="83" t="s">
        <v>642</v>
      </c>
      <c r="C97" s="84" t="s">
        <v>67</v>
      </c>
      <c r="D97" s="84" t="s">
        <v>66</v>
      </c>
      <c r="E97" s="86" t="s">
        <v>89</v>
      </c>
      <c r="F97" s="81">
        <v>721</v>
      </c>
      <c r="G97" s="166">
        <f>107+175+17</f>
        <v>299</v>
      </c>
      <c r="H97" s="166">
        <v>299</v>
      </c>
      <c r="I97" s="166">
        <f t="shared" si="12"/>
        <v>0</v>
      </c>
      <c r="J97" s="165">
        <f t="shared" si="13"/>
        <v>100</v>
      </c>
    </row>
    <row r="98" spans="1:10" s="11" customFormat="1">
      <c r="A98" s="85" t="s">
        <v>108</v>
      </c>
      <c r="B98" s="83" t="s">
        <v>642</v>
      </c>
      <c r="C98" s="84" t="s">
        <v>67</v>
      </c>
      <c r="D98" s="84" t="s">
        <v>66</v>
      </c>
      <c r="E98" s="86" t="s">
        <v>109</v>
      </c>
      <c r="F98" s="81"/>
      <c r="G98" s="166">
        <f>G99</f>
        <v>280.3</v>
      </c>
      <c r="H98" s="166">
        <f>H99</f>
        <v>280.2</v>
      </c>
      <c r="I98" s="166">
        <f t="shared" si="12"/>
        <v>0.10000000000002274</v>
      </c>
      <c r="J98" s="165">
        <f t="shared" si="13"/>
        <v>99.964323938637165</v>
      </c>
    </row>
    <row r="99" spans="1:10" s="11" customFormat="1">
      <c r="A99" s="85" t="s">
        <v>111</v>
      </c>
      <c r="B99" s="83" t="s">
        <v>642</v>
      </c>
      <c r="C99" s="84" t="s">
        <v>67</v>
      </c>
      <c r="D99" s="84" t="s">
        <v>66</v>
      </c>
      <c r="E99" s="86" t="s">
        <v>112</v>
      </c>
      <c r="F99" s="81"/>
      <c r="G99" s="166">
        <f>G100</f>
        <v>280.3</v>
      </c>
      <c r="H99" s="166">
        <f>H100</f>
        <v>280.2</v>
      </c>
      <c r="I99" s="166">
        <f t="shared" si="12"/>
        <v>0.10000000000002274</v>
      </c>
      <c r="J99" s="165">
        <f t="shared" si="13"/>
        <v>99.964323938637165</v>
      </c>
    </row>
    <row r="100" spans="1:10" s="11" customFormat="1">
      <c r="A100" s="85" t="s">
        <v>128</v>
      </c>
      <c r="B100" s="83" t="s">
        <v>642</v>
      </c>
      <c r="C100" s="84" t="s">
        <v>67</v>
      </c>
      <c r="D100" s="84" t="s">
        <v>66</v>
      </c>
      <c r="E100" s="86" t="s">
        <v>112</v>
      </c>
      <c r="F100" s="81">
        <v>721</v>
      </c>
      <c r="G100" s="166">
        <f>472.3-175-17</f>
        <v>280.3</v>
      </c>
      <c r="H100" s="166">
        <v>280.2</v>
      </c>
      <c r="I100" s="166">
        <f t="shared" si="12"/>
        <v>0.10000000000002274</v>
      </c>
      <c r="J100" s="165">
        <f t="shared" si="13"/>
        <v>99.964323938637165</v>
      </c>
    </row>
    <row r="101" spans="1:10" s="11" customFormat="1" ht="18" customHeight="1">
      <c r="A101" s="79" t="s">
        <v>666</v>
      </c>
      <c r="B101" s="77" t="s">
        <v>149</v>
      </c>
      <c r="C101" s="80"/>
      <c r="D101" s="80"/>
      <c r="E101" s="86"/>
      <c r="F101" s="81"/>
      <c r="G101" s="163">
        <f>G102</f>
        <v>423.8</v>
      </c>
      <c r="H101" s="163">
        <f>H102</f>
        <v>423.8</v>
      </c>
      <c r="I101" s="163">
        <f t="shared" si="12"/>
        <v>0</v>
      </c>
      <c r="J101" s="164">
        <f t="shared" si="13"/>
        <v>100</v>
      </c>
    </row>
    <row r="102" spans="1:10" s="11" customFormat="1" ht="21.75">
      <c r="A102" s="79" t="s">
        <v>186</v>
      </c>
      <c r="B102" s="77" t="s">
        <v>239</v>
      </c>
      <c r="C102" s="80"/>
      <c r="D102" s="80"/>
      <c r="E102" s="86"/>
      <c r="F102" s="81"/>
      <c r="G102" s="163">
        <f>G103+G112</f>
        <v>423.8</v>
      </c>
      <c r="H102" s="163">
        <f>H103+H112</f>
        <v>423.8</v>
      </c>
      <c r="I102" s="163">
        <f t="shared" si="12"/>
        <v>0</v>
      </c>
      <c r="J102" s="164">
        <f t="shared" si="13"/>
        <v>100</v>
      </c>
    </row>
    <row r="103" spans="1:10" s="11" customFormat="1" ht="21">
      <c r="A103" s="79" t="s">
        <v>150</v>
      </c>
      <c r="B103" s="77" t="s">
        <v>240</v>
      </c>
      <c r="C103" s="80"/>
      <c r="D103" s="80"/>
      <c r="E103" s="86"/>
      <c r="F103" s="81"/>
      <c r="G103" s="163">
        <f>G104</f>
        <v>341.8</v>
      </c>
      <c r="H103" s="163">
        <f>H104</f>
        <v>341.8</v>
      </c>
      <c r="I103" s="163">
        <f t="shared" si="12"/>
        <v>0</v>
      </c>
      <c r="J103" s="164">
        <f t="shared" si="13"/>
        <v>100</v>
      </c>
    </row>
    <row r="104" spans="1:10" s="11" customFormat="1" ht="21">
      <c r="A104" s="79" t="s">
        <v>7</v>
      </c>
      <c r="B104" s="77" t="s">
        <v>240</v>
      </c>
      <c r="C104" s="80" t="s">
        <v>65</v>
      </c>
      <c r="D104" s="80" t="s">
        <v>33</v>
      </c>
      <c r="E104" s="86"/>
      <c r="F104" s="81"/>
      <c r="G104" s="163">
        <f>G105</f>
        <v>341.8</v>
      </c>
      <c r="H104" s="163">
        <f>H105</f>
        <v>341.8</v>
      </c>
      <c r="I104" s="163">
        <f t="shared" si="12"/>
        <v>0</v>
      </c>
      <c r="J104" s="164">
        <f t="shared" si="13"/>
        <v>100</v>
      </c>
    </row>
    <row r="105" spans="1:10" s="11" customFormat="1" ht="22.5">
      <c r="A105" s="82" t="s">
        <v>334</v>
      </c>
      <c r="B105" s="83" t="s">
        <v>240</v>
      </c>
      <c r="C105" s="84" t="s">
        <v>65</v>
      </c>
      <c r="D105" s="84" t="s">
        <v>65</v>
      </c>
      <c r="E105" s="86"/>
      <c r="F105" s="81"/>
      <c r="G105" s="166">
        <f>G106+G109</f>
        <v>341.8</v>
      </c>
      <c r="H105" s="166">
        <f>H106+H109</f>
        <v>341.8</v>
      </c>
      <c r="I105" s="166">
        <f t="shared" si="12"/>
        <v>0</v>
      </c>
      <c r="J105" s="165">
        <f t="shared" si="13"/>
        <v>100</v>
      </c>
    </row>
    <row r="106" spans="1:10" s="11" customFormat="1" ht="22.5">
      <c r="A106" s="85" t="s">
        <v>331</v>
      </c>
      <c r="B106" s="83" t="s">
        <v>240</v>
      </c>
      <c r="C106" s="84" t="s">
        <v>65</v>
      </c>
      <c r="D106" s="84" t="s">
        <v>65</v>
      </c>
      <c r="E106" s="86" t="s">
        <v>92</v>
      </c>
      <c r="F106" s="81"/>
      <c r="G106" s="166">
        <f>G107</f>
        <v>26.3</v>
      </c>
      <c r="H106" s="166">
        <f>H107</f>
        <v>26.3</v>
      </c>
      <c r="I106" s="166">
        <f t="shared" si="12"/>
        <v>0</v>
      </c>
      <c r="J106" s="165">
        <f t="shared" si="13"/>
        <v>100</v>
      </c>
    </row>
    <row r="107" spans="1:10" s="11" customFormat="1" ht="22.15" customHeight="1">
      <c r="A107" s="85" t="s">
        <v>558</v>
      </c>
      <c r="B107" s="83" t="s">
        <v>240</v>
      </c>
      <c r="C107" s="84" t="s">
        <v>65</v>
      </c>
      <c r="D107" s="84" t="s">
        <v>65</v>
      </c>
      <c r="E107" s="86" t="s">
        <v>89</v>
      </c>
      <c r="F107" s="81"/>
      <c r="G107" s="166">
        <f>G108</f>
        <v>26.3</v>
      </c>
      <c r="H107" s="166">
        <f>H108</f>
        <v>26.3</v>
      </c>
      <c r="I107" s="166">
        <f t="shared" si="12"/>
        <v>0</v>
      </c>
      <c r="J107" s="165">
        <f t="shared" si="13"/>
        <v>100</v>
      </c>
    </row>
    <row r="108" spans="1:10" s="11" customFormat="1" ht="22.5">
      <c r="A108" s="82" t="s">
        <v>131</v>
      </c>
      <c r="B108" s="83" t="s">
        <v>240</v>
      </c>
      <c r="C108" s="84" t="s">
        <v>65</v>
      </c>
      <c r="D108" s="84" t="s">
        <v>65</v>
      </c>
      <c r="E108" s="86" t="s">
        <v>89</v>
      </c>
      <c r="F108" s="81">
        <v>725</v>
      </c>
      <c r="G108" s="166">
        <v>26.3</v>
      </c>
      <c r="H108" s="166">
        <v>26.3</v>
      </c>
      <c r="I108" s="166">
        <f t="shared" si="12"/>
        <v>0</v>
      </c>
      <c r="J108" s="165">
        <f t="shared" si="13"/>
        <v>100</v>
      </c>
    </row>
    <row r="109" spans="1:10" s="11" customFormat="1" ht="22.5">
      <c r="A109" s="85" t="s">
        <v>99</v>
      </c>
      <c r="B109" s="83" t="s">
        <v>240</v>
      </c>
      <c r="C109" s="86" t="s">
        <v>65</v>
      </c>
      <c r="D109" s="86" t="s">
        <v>65</v>
      </c>
      <c r="E109" s="86" t="s">
        <v>100</v>
      </c>
      <c r="F109" s="81"/>
      <c r="G109" s="166">
        <f>G110</f>
        <v>315.5</v>
      </c>
      <c r="H109" s="166">
        <f>H110</f>
        <v>315.5</v>
      </c>
      <c r="I109" s="166">
        <f t="shared" si="12"/>
        <v>0</v>
      </c>
      <c r="J109" s="165">
        <f t="shared" si="13"/>
        <v>100</v>
      </c>
    </row>
    <row r="110" spans="1:10" s="11" customFormat="1" ht="22.5">
      <c r="A110" s="85" t="s">
        <v>122</v>
      </c>
      <c r="B110" s="83" t="s">
        <v>240</v>
      </c>
      <c r="C110" s="86" t="s">
        <v>65</v>
      </c>
      <c r="D110" s="86" t="s">
        <v>65</v>
      </c>
      <c r="E110" s="86" t="s">
        <v>121</v>
      </c>
      <c r="F110" s="81"/>
      <c r="G110" s="166">
        <f>G111</f>
        <v>315.5</v>
      </c>
      <c r="H110" s="166">
        <f>H111</f>
        <v>315.5</v>
      </c>
      <c r="I110" s="166">
        <f t="shared" si="12"/>
        <v>0</v>
      </c>
      <c r="J110" s="165">
        <f t="shared" si="13"/>
        <v>100</v>
      </c>
    </row>
    <row r="111" spans="1:10" s="11" customFormat="1" ht="22.5">
      <c r="A111" s="82" t="s">
        <v>131</v>
      </c>
      <c r="B111" s="83" t="s">
        <v>240</v>
      </c>
      <c r="C111" s="86" t="s">
        <v>65</v>
      </c>
      <c r="D111" s="86" t="s">
        <v>65</v>
      </c>
      <c r="E111" s="86" t="s">
        <v>121</v>
      </c>
      <c r="F111" s="81">
        <v>725</v>
      </c>
      <c r="G111" s="166">
        <v>315.5</v>
      </c>
      <c r="H111" s="166">
        <v>315.5</v>
      </c>
      <c r="I111" s="166">
        <f t="shared" si="12"/>
        <v>0</v>
      </c>
      <c r="J111" s="165">
        <f t="shared" si="13"/>
        <v>100</v>
      </c>
    </row>
    <row r="112" spans="1:10" s="58" customFormat="1" ht="21">
      <c r="A112" s="90" t="s">
        <v>303</v>
      </c>
      <c r="B112" s="77" t="s">
        <v>350</v>
      </c>
      <c r="C112" s="88"/>
      <c r="D112" s="88"/>
      <c r="E112" s="88"/>
      <c r="F112" s="76"/>
      <c r="G112" s="163">
        <f>G117</f>
        <v>82</v>
      </c>
      <c r="H112" s="163">
        <f>H117</f>
        <v>82</v>
      </c>
      <c r="I112" s="163">
        <f t="shared" si="12"/>
        <v>0</v>
      </c>
      <c r="J112" s="164">
        <f t="shared" si="13"/>
        <v>100</v>
      </c>
    </row>
    <row r="113" spans="1:10" s="11" customFormat="1" ht="21">
      <c r="A113" s="79" t="s">
        <v>7</v>
      </c>
      <c r="B113" s="77" t="s">
        <v>350</v>
      </c>
      <c r="C113" s="80" t="s">
        <v>65</v>
      </c>
      <c r="D113" s="80" t="s">
        <v>33</v>
      </c>
      <c r="E113" s="86"/>
      <c r="F113" s="81"/>
      <c r="G113" s="163">
        <f t="shared" ref="G113:H116" si="15">G114</f>
        <v>82</v>
      </c>
      <c r="H113" s="163">
        <f t="shared" si="15"/>
        <v>82</v>
      </c>
      <c r="I113" s="163">
        <f t="shared" si="12"/>
        <v>0</v>
      </c>
      <c r="J113" s="164">
        <f t="shared" si="13"/>
        <v>100</v>
      </c>
    </row>
    <row r="114" spans="1:10" s="11" customFormat="1" ht="22.5">
      <c r="A114" s="82" t="s">
        <v>334</v>
      </c>
      <c r="B114" s="83" t="s">
        <v>350</v>
      </c>
      <c r="C114" s="84" t="s">
        <v>65</v>
      </c>
      <c r="D114" s="84" t="s">
        <v>65</v>
      </c>
      <c r="E114" s="86"/>
      <c r="F114" s="81"/>
      <c r="G114" s="166">
        <f t="shared" si="15"/>
        <v>82</v>
      </c>
      <c r="H114" s="166">
        <f t="shared" si="15"/>
        <v>82</v>
      </c>
      <c r="I114" s="166">
        <f t="shared" si="12"/>
        <v>0</v>
      </c>
      <c r="J114" s="165">
        <f t="shared" si="13"/>
        <v>100</v>
      </c>
    </row>
    <row r="115" spans="1:10" s="11" customFormat="1" ht="22.5">
      <c r="A115" s="85" t="s">
        <v>331</v>
      </c>
      <c r="B115" s="83" t="s">
        <v>350</v>
      </c>
      <c r="C115" s="86" t="s">
        <v>65</v>
      </c>
      <c r="D115" s="86" t="s">
        <v>65</v>
      </c>
      <c r="E115" s="86" t="s">
        <v>92</v>
      </c>
      <c r="F115" s="81"/>
      <c r="G115" s="166">
        <f t="shared" si="15"/>
        <v>82</v>
      </c>
      <c r="H115" s="166">
        <f t="shared" si="15"/>
        <v>82</v>
      </c>
      <c r="I115" s="166">
        <f t="shared" si="12"/>
        <v>0</v>
      </c>
      <c r="J115" s="165">
        <f t="shared" si="13"/>
        <v>100</v>
      </c>
    </row>
    <row r="116" spans="1:10" s="11" customFormat="1" ht="23.25" customHeight="1">
      <c r="A116" s="85" t="s">
        <v>558</v>
      </c>
      <c r="B116" s="83" t="s">
        <v>350</v>
      </c>
      <c r="C116" s="86" t="s">
        <v>65</v>
      </c>
      <c r="D116" s="86" t="s">
        <v>65</v>
      </c>
      <c r="E116" s="86" t="s">
        <v>89</v>
      </c>
      <c r="F116" s="81"/>
      <c r="G116" s="166">
        <f t="shared" si="15"/>
        <v>82</v>
      </c>
      <c r="H116" s="166">
        <f t="shared" si="15"/>
        <v>82</v>
      </c>
      <c r="I116" s="166">
        <f t="shared" si="12"/>
        <v>0</v>
      </c>
      <c r="J116" s="165">
        <f t="shared" si="13"/>
        <v>100</v>
      </c>
    </row>
    <row r="117" spans="1:10" s="11" customFormat="1" ht="22.5">
      <c r="A117" s="82" t="s">
        <v>131</v>
      </c>
      <c r="B117" s="83" t="s">
        <v>350</v>
      </c>
      <c r="C117" s="86" t="s">
        <v>65</v>
      </c>
      <c r="D117" s="86" t="s">
        <v>65</v>
      </c>
      <c r="E117" s="86" t="s">
        <v>89</v>
      </c>
      <c r="F117" s="81">
        <v>725</v>
      </c>
      <c r="G117" s="166">
        <v>82</v>
      </c>
      <c r="H117" s="166">
        <v>82</v>
      </c>
      <c r="I117" s="166">
        <f t="shared" si="12"/>
        <v>0</v>
      </c>
      <c r="J117" s="165">
        <f t="shared" si="13"/>
        <v>100</v>
      </c>
    </row>
    <row r="118" spans="1:10" s="11" customFormat="1" ht="21.75" customHeight="1">
      <c r="A118" s="79" t="s">
        <v>667</v>
      </c>
      <c r="B118" s="77" t="s">
        <v>164</v>
      </c>
      <c r="C118" s="84"/>
      <c r="D118" s="84"/>
      <c r="E118" s="86"/>
      <c r="F118" s="81"/>
      <c r="G118" s="163">
        <f>G119+G132+G148+G155</f>
        <v>1954.6999999999998</v>
      </c>
      <c r="H118" s="163">
        <f>H119+H132+H148+H155</f>
        <v>1954.7</v>
      </c>
      <c r="I118" s="163">
        <f t="shared" si="12"/>
        <v>0</v>
      </c>
      <c r="J118" s="164">
        <f t="shared" si="13"/>
        <v>100.00000000000003</v>
      </c>
    </row>
    <row r="119" spans="1:10" s="58" customFormat="1" ht="21" customHeight="1">
      <c r="A119" s="79" t="s">
        <v>311</v>
      </c>
      <c r="B119" s="77" t="s">
        <v>254</v>
      </c>
      <c r="C119" s="80"/>
      <c r="D119" s="80"/>
      <c r="E119" s="88"/>
      <c r="F119" s="76"/>
      <c r="G119" s="163">
        <f>G126+G120</f>
        <v>51.4</v>
      </c>
      <c r="H119" s="163">
        <f>H126+H120</f>
        <v>51.4</v>
      </c>
      <c r="I119" s="163">
        <f t="shared" si="12"/>
        <v>0</v>
      </c>
      <c r="J119" s="164">
        <f t="shared" si="13"/>
        <v>100</v>
      </c>
    </row>
    <row r="120" spans="1:10" s="58" customFormat="1" ht="15" customHeight="1">
      <c r="A120" s="85" t="s">
        <v>478</v>
      </c>
      <c r="B120" s="88" t="s">
        <v>312</v>
      </c>
      <c r="C120" s="88"/>
      <c r="D120" s="88"/>
      <c r="E120" s="88"/>
      <c r="F120" s="76"/>
      <c r="G120" s="163">
        <f t="shared" ref="G120:H124" si="16">G121</f>
        <v>41.4</v>
      </c>
      <c r="H120" s="163">
        <f t="shared" si="16"/>
        <v>41.4</v>
      </c>
      <c r="I120" s="163">
        <f t="shared" si="12"/>
        <v>0</v>
      </c>
      <c r="J120" s="164">
        <f t="shared" si="13"/>
        <v>100</v>
      </c>
    </row>
    <row r="121" spans="1:10" s="58" customFormat="1" ht="13.15" customHeight="1">
      <c r="A121" s="89" t="s">
        <v>120</v>
      </c>
      <c r="B121" s="88" t="s">
        <v>312</v>
      </c>
      <c r="C121" s="88" t="s">
        <v>69</v>
      </c>
      <c r="D121" s="88" t="s">
        <v>33</v>
      </c>
      <c r="E121" s="88"/>
      <c r="F121" s="76"/>
      <c r="G121" s="163">
        <f t="shared" si="16"/>
        <v>41.4</v>
      </c>
      <c r="H121" s="163">
        <f t="shared" si="16"/>
        <v>41.4</v>
      </c>
      <c r="I121" s="163">
        <f t="shared" si="12"/>
        <v>0</v>
      </c>
      <c r="J121" s="164">
        <f t="shared" si="13"/>
        <v>100</v>
      </c>
    </row>
    <row r="122" spans="1:10" s="11" customFormat="1" ht="12.75" customHeight="1">
      <c r="A122" s="85" t="s">
        <v>11</v>
      </c>
      <c r="B122" s="86" t="s">
        <v>312</v>
      </c>
      <c r="C122" s="86" t="s">
        <v>69</v>
      </c>
      <c r="D122" s="86" t="s">
        <v>62</v>
      </c>
      <c r="E122" s="86"/>
      <c r="F122" s="81"/>
      <c r="G122" s="166">
        <f t="shared" si="16"/>
        <v>41.4</v>
      </c>
      <c r="H122" s="166">
        <f t="shared" si="16"/>
        <v>41.4</v>
      </c>
      <c r="I122" s="166">
        <f t="shared" si="12"/>
        <v>0</v>
      </c>
      <c r="J122" s="165">
        <f t="shared" si="13"/>
        <v>100</v>
      </c>
    </row>
    <row r="123" spans="1:10" s="11" customFormat="1" ht="24.75" customHeight="1">
      <c r="A123" s="85" t="s">
        <v>93</v>
      </c>
      <c r="B123" s="86" t="s">
        <v>312</v>
      </c>
      <c r="C123" s="86" t="s">
        <v>69</v>
      </c>
      <c r="D123" s="86" t="s">
        <v>62</v>
      </c>
      <c r="E123" s="86" t="s">
        <v>94</v>
      </c>
      <c r="F123" s="81"/>
      <c r="G123" s="166">
        <f t="shared" si="16"/>
        <v>41.4</v>
      </c>
      <c r="H123" s="166">
        <f t="shared" si="16"/>
        <v>41.4</v>
      </c>
      <c r="I123" s="166">
        <f t="shared" si="12"/>
        <v>0</v>
      </c>
      <c r="J123" s="165">
        <f t="shared" si="13"/>
        <v>100</v>
      </c>
    </row>
    <row r="124" spans="1:10" s="11" customFormat="1" ht="12.75" customHeight="1">
      <c r="A124" s="85" t="s">
        <v>97</v>
      </c>
      <c r="B124" s="86" t="s">
        <v>312</v>
      </c>
      <c r="C124" s="86" t="s">
        <v>69</v>
      </c>
      <c r="D124" s="86" t="s">
        <v>62</v>
      </c>
      <c r="E124" s="86" t="s">
        <v>98</v>
      </c>
      <c r="F124" s="81"/>
      <c r="G124" s="166">
        <f t="shared" si="16"/>
        <v>41.4</v>
      </c>
      <c r="H124" s="166">
        <f t="shared" si="16"/>
        <v>41.4</v>
      </c>
      <c r="I124" s="166">
        <f t="shared" si="12"/>
        <v>0</v>
      </c>
      <c r="J124" s="165">
        <f t="shared" si="13"/>
        <v>100</v>
      </c>
    </row>
    <row r="125" spans="1:10" s="11" customFormat="1" ht="23.25" customHeight="1">
      <c r="A125" s="82" t="s">
        <v>132</v>
      </c>
      <c r="B125" s="86" t="s">
        <v>312</v>
      </c>
      <c r="C125" s="86" t="s">
        <v>69</v>
      </c>
      <c r="D125" s="86" t="s">
        <v>62</v>
      </c>
      <c r="E125" s="86" t="s">
        <v>98</v>
      </c>
      <c r="F125" s="81">
        <v>726</v>
      </c>
      <c r="G125" s="166">
        <v>41.4</v>
      </c>
      <c r="H125" s="166">
        <v>41.4</v>
      </c>
      <c r="I125" s="166">
        <f t="shared" si="12"/>
        <v>0</v>
      </c>
      <c r="J125" s="165">
        <f t="shared" si="13"/>
        <v>100</v>
      </c>
    </row>
    <row r="126" spans="1:10" s="11" customFormat="1" ht="22.5" customHeight="1">
      <c r="A126" s="85" t="s">
        <v>364</v>
      </c>
      <c r="B126" s="86" t="s">
        <v>313</v>
      </c>
      <c r="C126" s="84"/>
      <c r="D126" s="84"/>
      <c r="E126" s="86"/>
      <c r="F126" s="81"/>
      <c r="G126" s="163">
        <f t="shared" ref="G126:H130" si="17">G127</f>
        <v>10</v>
      </c>
      <c r="H126" s="163">
        <f t="shared" si="17"/>
        <v>10</v>
      </c>
      <c r="I126" s="163">
        <f t="shared" si="12"/>
        <v>0</v>
      </c>
      <c r="J126" s="164">
        <f t="shared" si="13"/>
        <v>100</v>
      </c>
    </row>
    <row r="127" spans="1:10" s="11" customFormat="1" ht="16.149999999999999" customHeight="1">
      <c r="A127" s="79" t="s">
        <v>120</v>
      </c>
      <c r="B127" s="86" t="s">
        <v>313</v>
      </c>
      <c r="C127" s="84" t="s">
        <v>69</v>
      </c>
      <c r="D127" s="84" t="s">
        <v>33</v>
      </c>
      <c r="E127" s="86"/>
      <c r="F127" s="81"/>
      <c r="G127" s="163">
        <f t="shared" si="17"/>
        <v>10</v>
      </c>
      <c r="H127" s="163">
        <f t="shared" si="17"/>
        <v>10</v>
      </c>
      <c r="I127" s="163">
        <f t="shared" si="12"/>
        <v>0</v>
      </c>
      <c r="J127" s="164">
        <f t="shared" si="13"/>
        <v>100</v>
      </c>
    </row>
    <row r="128" spans="1:10" s="11" customFormat="1" ht="13.5" customHeight="1">
      <c r="A128" s="82" t="s">
        <v>11</v>
      </c>
      <c r="B128" s="86" t="s">
        <v>313</v>
      </c>
      <c r="C128" s="84" t="s">
        <v>69</v>
      </c>
      <c r="D128" s="84" t="s">
        <v>62</v>
      </c>
      <c r="E128" s="86"/>
      <c r="F128" s="81"/>
      <c r="G128" s="166">
        <f t="shared" si="17"/>
        <v>10</v>
      </c>
      <c r="H128" s="166">
        <f t="shared" si="17"/>
        <v>10</v>
      </c>
      <c r="I128" s="166">
        <f t="shared" si="12"/>
        <v>0</v>
      </c>
      <c r="J128" s="165">
        <f t="shared" si="13"/>
        <v>100</v>
      </c>
    </row>
    <row r="129" spans="1:10" s="11" customFormat="1" ht="24" customHeight="1">
      <c r="A129" s="85" t="s">
        <v>93</v>
      </c>
      <c r="B129" s="86" t="s">
        <v>313</v>
      </c>
      <c r="C129" s="84" t="s">
        <v>69</v>
      </c>
      <c r="D129" s="84" t="s">
        <v>62</v>
      </c>
      <c r="E129" s="86" t="s">
        <v>94</v>
      </c>
      <c r="F129" s="81"/>
      <c r="G129" s="166">
        <f t="shared" si="17"/>
        <v>10</v>
      </c>
      <c r="H129" s="166">
        <f t="shared" si="17"/>
        <v>10</v>
      </c>
      <c r="I129" s="166">
        <f t="shared" si="12"/>
        <v>0</v>
      </c>
      <c r="J129" s="165">
        <f t="shared" si="13"/>
        <v>100</v>
      </c>
    </row>
    <row r="130" spans="1:10" s="11" customFormat="1" ht="12.75" customHeight="1">
      <c r="A130" s="85" t="s">
        <v>97</v>
      </c>
      <c r="B130" s="86" t="s">
        <v>313</v>
      </c>
      <c r="C130" s="84" t="s">
        <v>69</v>
      </c>
      <c r="D130" s="84" t="s">
        <v>62</v>
      </c>
      <c r="E130" s="86" t="s">
        <v>98</v>
      </c>
      <c r="F130" s="81"/>
      <c r="G130" s="166">
        <f t="shared" si="17"/>
        <v>10</v>
      </c>
      <c r="H130" s="166">
        <f t="shared" si="17"/>
        <v>10</v>
      </c>
      <c r="I130" s="166">
        <f t="shared" si="12"/>
        <v>0</v>
      </c>
      <c r="J130" s="165">
        <f t="shared" si="13"/>
        <v>100</v>
      </c>
    </row>
    <row r="131" spans="1:10" s="11" customFormat="1" ht="24.75" customHeight="1">
      <c r="A131" s="82" t="s">
        <v>132</v>
      </c>
      <c r="B131" s="86" t="s">
        <v>313</v>
      </c>
      <c r="C131" s="84" t="s">
        <v>69</v>
      </c>
      <c r="D131" s="84" t="s">
        <v>62</v>
      </c>
      <c r="E131" s="86" t="s">
        <v>98</v>
      </c>
      <c r="F131" s="81">
        <v>726</v>
      </c>
      <c r="G131" s="166">
        <v>10</v>
      </c>
      <c r="H131" s="166">
        <v>10</v>
      </c>
      <c r="I131" s="166">
        <f t="shared" si="12"/>
        <v>0</v>
      </c>
      <c r="J131" s="165">
        <f t="shared" si="13"/>
        <v>100</v>
      </c>
    </row>
    <row r="132" spans="1:10" s="11" customFormat="1" ht="21.75" customHeight="1">
      <c r="A132" s="79" t="s">
        <v>654</v>
      </c>
      <c r="B132" s="77" t="s">
        <v>316</v>
      </c>
      <c r="C132" s="84"/>
      <c r="D132" s="84"/>
      <c r="E132" s="86"/>
      <c r="F132" s="81"/>
      <c r="G132" s="163">
        <f>G133+G139</f>
        <v>336.1</v>
      </c>
      <c r="H132" s="163">
        <f>H133+H139</f>
        <v>336.1</v>
      </c>
      <c r="I132" s="163">
        <f t="shared" si="12"/>
        <v>0</v>
      </c>
      <c r="J132" s="164">
        <f t="shared" si="13"/>
        <v>100</v>
      </c>
    </row>
    <row r="133" spans="1:10" s="58" customFormat="1" ht="13.5" customHeight="1">
      <c r="A133" s="89" t="s">
        <v>356</v>
      </c>
      <c r="B133" s="77" t="s">
        <v>357</v>
      </c>
      <c r="C133" s="80"/>
      <c r="D133" s="80"/>
      <c r="E133" s="88"/>
      <c r="F133" s="76"/>
      <c r="G133" s="163">
        <f t="shared" ref="G133:H137" si="18">G134</f>
        <v>74.5</v>
      </c>
      <c r="H133" s="163">
        <f t="shared" si="18"/>
        <v>74.5</v>
      </c>
      <c r="I133" s="163">
        <f t="shared" si="12"/>
        <v>0</v>
      </c>
      <c r="J133" s="164">
        <f t="shared" si="13"/>
        <v>100</v>
      </c>
    </row>
    <row r="134" spans="1:10" s="58" customFormat="1" ht="14.25" customHeight="1">
      <c r="A134" s="89" t="s">
        <v>120</v>
      </c>
      <c r="B134" s="77" t="s">
        <v>357</v>
      </c>
      <c r="C134" s="80" t="s">
        <v>69</v>
      </c>
      <c r="D134" s="80" t="s">
        <v>33</v>
      </c>
      <c r="E134" s="88"/>
      <c r="F134" s="76"/>
      <c r="G134" s="163">
        <f t="shared" si="18"/>
        <v>74.5</v>
      </c>
      <c r="H134" s="163">
        <f t="shared" si="18"/>
        <v>74.5</v>
      </c>
      <c r="I134" s="163">
        <f t="shared" si="12"/>
        <v>0</v>
      </c>
      <c r="J134" s="164">
        <f t="shared" si="13"/>
        <v>100</v>
      </c>
    </row>
    <row r="135" spans="1:10" s="11" customFormat="1" ht="10.5" customHeight="1">
      <c r="A135" s="85" t="s">
        <v>11</v>
      </c>
      <c r="B135" s="83" t="s">
        <v>357</v>
      </c>
      <c r="C135" s="84" t="s">
        <v>69</v>
      </c>
      <c r="D135" s="84" t="s">
        <v>62</v>
      </c>
      <c r="E135" s="86"/>
      <c r="F135" s="81"/>
      <c r="G135" s="166">
        <f t="shared" si="18"/>
        <v>74.5</v>
      </c>
      <c r="H135" s="166">
        <f t="shared" si="18"/>
        <v>74.5</v>
      </c>
      <c r="I135" s="166">
        <f t="shared" si="12"/>
        <v>0</v>
      </c>
      <c r="J135" s="165">
        <f t="shared" si="13"/>
        <v>100</v>
      </c>
    </row>
    <row r="136" spans="1:10" s="11" customFormat="1" ht="23.25" customHeight="1">
      <c r="A136" s="85" t="s">
        <v>93</v>
      </c>
      <c r="B136" s="83" t="s">
        <v>357</v>
      </c>
      <c r="C136" s="84" t="s">
        <v>69</v>
      </c>
      <c r="D136" s="84" t="s">
        <v>62</v>
      </c>
      <c r="E136" s="86" t="s">
        <v>94</v>
      </c>
      <c r="F136" s="81"/>
      <c r="G136" s="166">
        <f t="shared" si="18"/>
        <v>74.5</v>
      </c>
      <c r="H136" s="166">
        <f t="shared" si="18"/>
        <v>74.5</v>
      </c>
      <c r="I136" s="166">
        <f t="shared" si="12"/>
        <v>0</v>
      </c>
      <c r="J136" s="165">
        <f t="shared" si="13"/>
        <v>100</v>
      </c>
    </row>
    <row r="137" spans="1:10" s="11" customFormat="1" ht="12.75" customHeight="1">
      <c r="A137" s="85" t="s">
        <v>97</v>
      </c>
      <c r="B137" s="83" t="s">
        <v>357</v>
      </c>
      <c r="C137" s="84" t="s">
        <v>69</v>
      </c>
      <c r="D137" s="84" t="s">
        <v>62</v>
      </c>
      <c r="E137" s="86" t="s">
        <v>98</v>
      </c>
      <c r="F137" s="81"/>
      <c r="G137" s="166">
        <f t="shared" si="18"/>
        <v>74.5</v>
      </c>
      <c r="H137" s="166">
        <f t="shared" si="18"/>
        <v>74.5</v>
      </c>
      <c r="I137" s="166">
        <f t="shared" ref="I137:I200" si="19">G137-H137</f>
        <v>0</v>
      </c>
      <c r="J137" s="165">
        <f t="shared" ref="J137:J200" si="20">H137/G137*100</f>
        <v>100</v>
      </c>
    </row>
    <row r="138" spans="1:10" s="11" customFormat="1" ht="23.25" customHeight="1">
      <c r="A138" s="82" t="s">
        <v>132</v>
      </c>
      <c r="B138" s="83" t="s">
        <v>357</v>
      </c>
      <c r="C138" s="84" t="s">
        <v>69</v>
      </c>
      <c r="D138" s="84" t="s">
        <v>62</v>
      </c>
      <c r="E138" s="86" t="s">
        <v>98</v>
      </c>
      <c r="F138" s="81">
        <v>726</v>
      </c>
      <c r="G138" s="166">
        <v>74.5</v>
      </c>
      <c r="H138" s="166">
        <v>74.5</v>
      </c>
      <c r="I138" s="166">
        <f t="shared" si="19"/>
        <v>0</v>
      </c>
      <c r="J138" s="165">
        <f t="shared" si="20"/>
        <v>100</v>
      </c>
    </row>
    <row r="139" spans="1:10" s="11" customFormat="1" ht="21.75">
      <c r="A139" s="89" t="s">
        <v>345</v>
      </c>
      <c r="B139" s="77" t="s">
        <v>346</v>
      </c>
      <c r="C139" s="80"/>
      <c r="D139" s="80"/>
      <c r="E139" s="88"/>
      <c r="F139" s="76"/>
      <c r="G139" s="163">
        <f>G140</f>
        <v>261.60000000000002</v>
      </c>
      <c r="H139" s="163">
        <f>H140</f>
        <v>261.60000000000002</v>
      </c>
      <c r="I139" s="163">
        <f t="shared" si="19"/>
        <v>0</v>
      </c>
      <c r="J139" s="164">
        <f t="shared" si="20"/>
        <v>100</v>
      </c>
    </row>
    <row r="140" spans="1:10" s="11" customFormat="1">
      <c r="A140" s="89" t="s">
        <v>120</v>
      </c>
      <c r="B140" s="77" t="s">
        <v>346</v>
      </c>
      <c r="C140" s="80" t="s">
        <v>69</v>
      </c>
      <c r="D140" s="80" t="s">
        <v>33</v>
      </c>
      <c r="E140" s="88"/>
      <c r="F140" s="76"/>
      <c r="G140" s="163">
        <f>G141</f>
        <v>261.60000000000002</v>
      </c>
      <c r="H140" s="163">
        <f>H141</f>
        <v>261.60000000000002</v>
      </c>
      <c r="I140" s="163">
        <f t="shared" si="19"/>
        <v>0</v>
      </c>
      <c r="J140" s="164">
        <f t="shared" si="20"/>
        <v>100</v>
      </c>
    </row>
    <row r="141" spans="1:10" s="11" customFormat="1">
      <c r="A141" s="85" t="s">
        <v>82</v>
      </c>
      <c r="B141" s="83" t="s">
        <v>346</v>
      </c>
      <c r="C141" s="84" t="s">
        <v>69</v>
      </c>
      <c r="D141" s="84" t="s">
        <v>64</v>
      </c>
      <c r="E141" s="86"/>
      <c r="F141" s="81"/>
      <c r="G141" s="166">
        <f>G142+G145</f>
        <v>261.60000000000002</v>
      </c>
      <c r="H141" s="166">
        <f>H142+H145</f>
        <v>261.60000000000002</v>
      </c>
      <c r="I141" s="166">
        <f t="shared" si="19"/>
        <v>0</v>
      </c>
      <c r="J141" s="165">
        <f t="shared" si="20"/>
        <v>100</v>
      </c>
    </row>
    <row r="142" spans="1:10" s="11" customFormat="1" ht="45">
      <c r="A142" s="85" t="s">
        <v>90</v>
      </c>
      <c r="B142" s="83" t="s">
        <v>346</v>
      </c>
      <c r="C142" s="84" t="s">
        <v>69</v>
      </c>
      <c r="D142" s="84" t="s">
        <v>64</v>
      </c>
      <c r="E142" s="86" t="s">
        <v>91</v>
      </c>
      <c r="F142" s="81"/>
      <c r="G142" s="166">
        <f>G143</f>
        <v>53.2</v>
      </c>
      <c r="H142" s="166">
        <f>H143</f>
        <v>53.2</v>
      </c>
      <c r="I142" s="166">
        <f t="shared" si="19"/>
        <v>0</v>
      </c>
      <c r="J142" s="165">
        <f t="shared" si="20"/>
        <v>100</v>
      </c>
    </row>
    <row r="143" spans="1:10" s="11" customFormat="1">
      <c r="A143" s="85" t="s">
        <v>206</v>
      </c>
      <c r="B143" s="83" t="s">
        <v>346</v>
      </c>
      <c r="C143" s="84" t="s">
        <v>69</v>
      </c>
      <c r="D143" s="84" t="s">
        <v>64</v>
      </c>
      <c r="E143" s="86" t="s">
        <v>207</v>
      </c>
      <c r="F143" s="81"/>
      <c r="G143" s="166">
        <f>G144</f>
        <v>53.2</v>
      </c>
      <c r="H143" s="166">
        <f>H144</f>
        <v>53.2</v>
      </c>
      <c r="I143" s="166">
        <f t="shared" si="19"/>
        <v>0</v>
      </c>
      <c r="J143" s="165">
        <f t="shared" si="20"/>
        <v>100</v>
      </c>
    </row>
    <row r="144" spans="1:10" s="11" customFormat="1" ht="22.5">
      <c r="A144" s="82" t="s">
        <v>132</v>
      </c>
      <c r="B144" s="83" t="s">
        <v>346</v>
      </c>
      <c r="C144" s="84" t="s">
        <v>69</v>
      </c>
      <c r="D144" s="84" t="s">
        <v>64</v>
      </c>
      <c r="E144" s="86" t="s">
        <v>207</v>
      </c>
      <c r="F144" s="81">
        <v>726</v>
      </c>
      <c r="G144" s="166">
        <f>90-6-30.8</f>
        <v>53.2</v>
      </c>
      <c r="H144" s="166">
        <v>53.2</v>
      </c>
      <c r="I144" s="166">
        <f t="shared" si="19"/>
        <v>0</v>
      </c>
      <c r="J144" s="165">
        <f t="shared" si="20"/>
        <v>100</v>
      </c>
    </row>
    <row r="145" spans="1:10" s="11" customFormat="1" ht="22.5">
      <c r="A145" s="85" t="s">
        <v>331</v>
      </c>
      <c r="B145" s="83" t="s">
        <v>346</v>
      </c>
      <c r="C145" s="84" t="s">
        <v>69</v>
      </c>
      <c r="D145" s="84" t="s">
        <v>64</v>
      </c>
      <c r="E145" s="86" t="s">
        <v>92</v>
      </c>
      <c r="F145" s="81"/>
      <c r="G145" s="166">
        <f>G146</f>
        <v>208.4</v>
      </c>
      <c r="H145" s="166">
        <f>H146</f>
        <v>208.4</v>
      </c>
      <c r="I145" s="166">
        <f t="shared" si="19"/>
        <v>0</v>
      </c>
      <c r="J145" s="165">
        <f t="shared" si="20"/>
        <v>100</v>
      </c>
    </row>
    <row r="146" spans="1:10" s="11" customFormat="1" ht="24" customHeight="1">
      <c r="A146" s="85" t="s">
        <v>558</v>
      </c>
      <c r="B146" s="83" t="s">
        <v>346</v>
      </c>
      <c r="C146" s="84" t="s">
        <v>69</v>
      </c>
      <c r="D146" s="84" t="s">
        <v>64</v>
      </c>
      <c r="E146" s="86" t="s">
        <v>89</v>
      </c>
      <c r="F146" s="81"/>
      <c r="G146" s="166">
        <f>G147</f>
        <v>208.4</v>
      </c>
      <c r="H146" s="166">
        <f>H147</f>
        <v>208.4</v>
      </c>
      <c r="I146" s="166">
        <f t="shared" si="19"/>
        <v>0</v>
      </c>
      <c r="J146" s="165">
        <f t="shared" si="20"/>
        <v>100</v>
      </c>
    </row>
    <row r="147" spans="1:10" s="11" customFormat="1" ht="22.5">
      <c r="A147" s="82" t="s">
        <v>132</v>
      </c>
      <c r="B147" s="83" t="s">
        <v>346</v>
      </c>
      <c r="C147" s="84" t="s">
        <v>69</v>
      </c>
      <c r="D147" s="84" t="s">
        <v>64</v>
      </c>
      <c r="E147" s="86" t="s">
        <v>89</v>
      </c>
      <c r="F147" s="81">
        <v>726</v>
      </c>
      <c r="G147" s="166">
        <f>177.6+30.8</f>
        <v>208.4</v>
      </c>
      <c r="H147" s="166">
        <v>208.4</v>
      </c>
      <c r="I147" s="166">
        <f t="shared" si="19"/>
        <v>0</v>
      </c>
      <c r="J147" s="165">
        <f t="shared" si="20"/>
        <v>100</v>
      </c>
    </row>
    <row r="148" spans="1:10" s="58" customFormat="1" ht="44.45" customHeight="1">
      <c r="A148" s="89" t="s">
        <v>291</v>
      </c>
      <c r="B148" s="77" t="s">
        <v>314</v>
      </c>
      <c r="C148" s="88"/>
      <c r="D148" s="88"/>
      <c r="E148" s="88"/>
      <c r="F148" s="76"/>
      <c r="G148" s="163">
        <f t="shared" ref="G148:H153" si="21">G149</f>
        <v>1317.1999999999998</v>
      </c>
      <c r="H148" s="163">
        <f t="shared" si="21"/>
        <v>1317.2</v>
      </c>
      <c r="I148" s="163">
        <f t="shared" si="19"/>
        <v>0</v>
      </c>
      <c r="J148" s="164">
        <f t="shared" si="20"/>
        <v>100.00000000000003</v>
      </c>
    </row>
    <row r="149" spans="1:10" s="58" customFormat="1" ht="41.45" customHeight="1">
      <c r="A149" s="89" t="s">
        <v>379</v>
      </c>
      <c r="B149" s="77" t="s">
        <v>315</v>
      </c>
      <c r="C149" s="88"/>
      <c r="D149" s="88"/>
      <c r="E149" s="88"/>
      <c r="F149" s="76"/>
      <c r="G149" s="163">
        <f t="shared" si="21"/>
        <v>1317.1999999999998</v>
      </c>
      <c r="H149" s="163">
        <f t="shared" si="21"/>
        <v>1317.2</v>
      </c>
      <c r="I149" s="163">
        <f t="shared" si="19"/>
        <v>0</v>
      </c>
      <c r="J149" s="164">
        <f t="shared" si="20"/>
        <v>100.00000000000003</v>
      </c>
    </row>
    <row r="150" spans="1:10" s="58" customFormat="1">
      <c r="A150" s="89" t="s">
        <v>120</v>
      </c>
      <c r="B150" s="77" t="s">
        <v>315</v>
      </c>
      <c r="C150" s="88" t="s">
        <v>69</v>
      </c>
      <c r="D150" s="88" t="s">
        <v>33</v>
      </c>
      <c r="E150" s="88"/>
      <c r="F150" s="76"/>
      <c r="G150" s="163">
        <f t="shared" si="21"/>
        <v>1317.1999999999998</v>
      </c>
      <c r="H150" s="163">
        <f t="shared" si="21"/>
        <v>1317.2</v>
      </c>
      <c r="I150" s="163">
        <f t="shared" si="19"/>
        <v>0</v>
      </c>
      <c r="J150" s="164">
        <f t="shared" si="20"/>
        <v>100.00000000000003</v>
      </c>
    </row>
    <row r="151" spans="1:10" s="11" customFormat="1">
      <c r="A151" s="85" t="s">
        <v>11</v>
      </c>
      <c r="B151" s="83" t="s">
        <v>315</v>
      </c>
      <c r="C151" s="86" t="s">
        <v>69</v>
      </c>
      <c r="D151" s="86" t="s">
        <v>62</v>
      </c>
      <c r="E151" s="86"/>
      <c r="F151" s="81"/>
      <c r="G151" s="166">
        <f t="shared" si="21"/>
        <v>1317.1999999999998</v>
      </c>
      <c r="H151" s="166">
        <f t="shared" si="21"/>
        <v>1317.2</v>
      </c>
      <c r="I151" s="166">
        <f t="shared" si="19"/>
        <v>0</v>
      </c>
      <c r="J151" s="165">
        <f t="shared" si="20"/>
        <v>100.00000000000003</v>
      </c>
    </row>
    <row r="152" spans="1:10" s="11" customFormat="1" ht="22.5">
      <c r="A152" s="85" t="s">
        <v>93</v>
      </c>
      <c r="B152" s="83" t="s">
        <v>315</v>
      </c>
      <c r="C152" s="86" t="s">
        <v>69</v>
      </c>
      <c r="D152" s="86" t="s">
        <v>62</v>
      </c>
      <c r="E152" s="86" t="s">
        <v>94</v>
      </c>
      <c r="F152" s="81"/>
      <c r="G152" s="166">
        <f t="shared" si="21"/>
        <v>1317.1999999999998</v>
      </c>
      <c r="H152" s="166">
        <f t="shared" si="21"/>
        <v>1317.2</v>
      </c>
      <c r="I152" s="166">
        <f t="shared" si="19"/>
        <v>0</v>
      </c>
      <c r="J152" s="165">
        <f t="shared" si="20"/>
        <v>100.00000000000003</v>
      </c>
    </row>
    <row r="153" spans="1:10" s="11" customFormat="1">
      <c r="A153" s="85" t="s">
        <v>97</v>
      </c>
      <c r="B153" s="83" t="s">
        <v>315</v>
      </c>
      <c r="C153" s="86" t="s">
        <v>69</v>
      </c>
      <c r="D153" s="86" t="s">
        <v>62</v>
      </c>
      <c r="E153" s="86" t="s">
        <v>98</v>
      </c>
      <c r="F153" s="81"/>
      <c r="G153" s="166">
        <f t="shared" si="21"/>
        <v>1317.1999999999998</v>
      </c>
      <c r="H153" s="166">
        <f t="shared" si="21"/>
        <v>1317.2</v>
      </c>
      <c r="I153" s="166">
        <f t="shared" si="19"/>
        <v>0</v>
      </c>
      <c r="J153" s="165">
        <f t="shared" si="20"/>
        <v>100.00000000000003</v>
      </c>
    </row>
    <row r="154" spans="1:10" s="11" customFormat="1" ht="22.5">
      <c r="A154" s="82" t="s">
        <v>132</v>
      </c>
      <c r="B154" s="83" t="s">
        <v>315</v>
      </c>
      <c r="C154" s="86" t="s">
        <v>69</v>
      </c>
      <c r="D154" s="86" t="s">
        <v>62</v>
      </c>
      <c r="E154" s="86" t="s">
        <v>98</v>
      </c>
      <c r="F154" s="81">
        <v>726</v>
      </c>
      <c r="G154" s="166">
        <f>1101.6+215.6</f>
        <v>1317.1999999999998</v>
      </c>
      <c r="H154" s="166">
        <v>1317.2</v>
      </c>
      <c r="I154" s="166">
        <f t="shared" si="19"/>
        <v>0</v>
      </c>
      <c r="J154" s="165">
        <f t="shared" si="20"/>
        <v>100.00000000000003</v>
      </c>
    </row>
    <row r="155" spans="1:10" s="58" customFormat="1" ht="21.75">
      <c r="A155" s="89" t="s">
        <v>538</v>
      </c>
      <c r="B155" s="77" t="s">
        <v>536</v>
      </c>
      <c r="C155" s="88"/>
      <c r="D155" s="88"/>
      <c r="E155" s="88"/>
      <c r="F155" s="76"/>
      <c r="G155" s="163">
        <f t="shared" ref="G155:H160" si="22">G156</f>
        <v>250</v>
      </c>
      <c r="H155" s="163">
        <f t="shared" si="22"/>
        <v>250</v>
      </c>
      <c r="I155" s="163">
        <f t="shared" si="19"/>
        <v>0</v>
      </c>
      <c r="J155" s="164">
        <f t="shared" si="20"/>
        <v>100</v>
      </c>
    </row>
    <row r="156" spans="1:10" s="58" customFormat="1" ht="21.75">
      <c r="A156" s="89" t="s">
        <v>541</v>
      </c>
      <c r="B156" s="77" t="s">
        <v>537</v>
      </c>
      <c r="C156" s="88"/>
      <c r="D156" s="88"/>
      <c r="E156" s="88"/>
      <c r="F156" s="76"/>
      <c r="G156" s="163">
        <f t="shared" si="22"/>
        <v>250</v>
      </c>
      <c r="H156" s="163">
        <f t="shared" si="22"/>
        <v>250</v>
      </c>
      <c r="I156" s="163">
        <f t="shared" si="19"/>
        <v>0</v>
      </c>
      <c r="J156" s="164">
        <f t="shared" si="20"/>
        <v>100</v>
      </c>
    </row>
    <row r="157" spans="1:10" s="11" customFormat="1">
      <c r="A157" s="89" t="s">
        <v>120</v>
      </c>
      <c r="B157" s="77" t="s">
        <v>537</v>
      </c>
      <c r="C157" s="88" t="s">
        <v>69</v>
      </c>
      <c r="D157" s="88" t="s">
        <v>33</v>
      </c>
      <c r="E157" s="86"/>
      <c r="F157" s="81"/>
      <c r="G157" s="166">
        <f t="shared" si="22"/>
        <v>250</v>
      </c>
      <c r="H157" s="166">
        <f t="shared" si="22"/>
        <v>250</v>
      </c>
      <c r="I157" s="166">
        <f t="shared" si="19"/>
        <v>0</v>
      </c>
      <c r="J157" s="165">
        <f t="shared" si="20"/>
        <v>100</v>
      </c>
    </row>
    <row r="158" spans="1:10" s="11" customFormat="1">
      <c r="A158" s="85" t="s">
        <v>11</v>
      </c>
      <c r="B158" s="77" t="s">
        <v>537</v>
      </c>
      <c r="C158" s="86" t="s">
        <v>69</v>
      </c>
      <c r="D158" s="86" t="s">
        <v>62</v>
      </c>
      <c r="E158" s="86"/>
      <c r="F158" s="81"/>
      <c r="G158" s="166">
        <f t="shared" si="22"/>
        <v>250</v>
      </c>
      <c r="H158" s="166">
        <f t="shared" si="22"/>
        <v>250</v>
      </c>
      <c r="I158" s="166">
        <f t="shared" si="19"/>
        <v>0</v>
      </c>
      <c r="J158" s="165">
        <f t="shared" si="20"/>
        <v>100</v>
      </c>
    </row>
    <row r="159" spans="1:10" s="11" customFormat="1" ht="22.5">
      <c r="A159" s="85" t="s">
        <v>93</v>
      </c>
      <c r="B159" s="77" t="s">
        <v>537</v>
      </c>
      <c r="C159" s="86" t="s">
        <v>69</v>
      </c>
      <c r="D159" s="86" t="s">
        <v>62</v>
      </c>
      <c r="E159" s="86" t="s">
        <v>94</v>
      </c>
      <c r="F159" s="81"/>
      <c r="G159" s="166">
        <f t="shared" si="22"/>
        <v>250</v>
      </c>
      <c r="H159" s="166">
        <f t="shared" si="22"/>
        <v>250</v>
      </c>
      <c r="I159" s="166">
        <f t="shared" si="19"/>
        <v>0</v>
      </c>
      <c r="J159" s="165">
        <f t="shared" si="20"/>
        <v>100</v>
      </c>
    </row>
    <row r="160" spans="1:10" s="11" customFormat="1">
      <c r="A160" s="85" t="s">
        <v>97</v>
      </c>
      <c r="B160" s="77" t="s">
        <v>537</v>
      </c>
      <c r="C160" s="86" t="s">
        <v>69</v>
      </c>
      <c r="D160" s="86" t="s">
        <v>62</v>
      </c>
      <c r="E160" s="86" t="s">
        <v>98</v>
      </c>
      <c r="F160" s="81"/>
      <c r="G160" s="166">
        <f t="shared" si="22"/>
        <v>250</v>
      </c>
      <c r="H160" s="166">
        <f t="shared" si="22"/>
        <v>250</v>
      </c>
      <c r="I160" s="166">
        <f t="shared" si="19"/>
        <v>0</v>
      </c>
      <c r="J160" s="165">
        <f t="shared" si="20"/>
        <v>100</v>
      </c>
    </row>
    <row r="161" spans="1:10" s="11" customFormat="1" ht="22.5">
      <c r="A161" s="82" t="s">
        <v>132</v>
      </c>
      <c r="B161" s="77" t="s">
        <v>537</v>
      </c>
      <c r="C161" s="86" t="s">
        <v>69</v>
      </c>
      <c r="D161" s="86" t="s">
        <v>62</v>
      </c>
      <c r="E161" s="86" t="s">
        <v>98</v>
      </c>
      <c r="F161" s="81">
        <v>726</v>
      </c>
      <c r="G161" s="166">
        <v>250</v>
      </c>
      <c r="H161" s="166">
        <v>250</v>
      </c>
      <c r="I161" s="166">
        <f t="shared" si="19"/>
        <v>0</v>
      </c>
      <c r="J161" s="165">
        <f t="shared" si="20"/>
        <v>100</v>
      </c>
    </row>
    <row r="162" spans="1:10" s="11" customFormat="1" ht="32.25">
      <c r="A162" s="79" t="s">
        <v>668</v>
      </c>
      <c r="B162" s="77" t="s">
        <v>166</v>
      </c>
      <c r="C162" s="84"/>
      <c r="D162" s="84"/>
      <c r="E162" s="86"/>
      <c r="F162" s="81"/>
      <c r="G162" s="163">
        <f t="shared" ref="G162:H168" si="23">G163</f>
        <v>67.7</v>
      </c>
      <c r="H162" s="163">
        <f t="shared" si="23"/>
        <v>67.7</v>
      </c>
      <c r="I162" s="163">
        <f t="shared" si="19"/>
        <v>0</v>
      </c>
      <c r="J162" s="164">
        <f t="shared" si="20"/>
        <v>100</v>
      </c>
    </row>
    <row r="163" spans="1:10" s="11" customFormat="1" ht="26.45" customHeight="1">
      <c r="A163" s="79" t="s">
        <v>583</v>
      </c>
      <c r="B163" s="83" t="s">
        <v>255</v>
      </c>
      <c r="C163" s="84"/>
      <c r="D163" s="84"/>
      <c r="E163" s="86"/>
      <c r="F163" s="81"/>
      <c r="G163" s="163">
        <f t="shared" si="23"/>
        <v>67.7</v>
      </c>
      <c r="H163" s="163">
        <f t="shared" si="23"/>
        <v>67.7</v>
      </c>
      <c r="I163" s="163">
        <f t="shared" si="19"/>
        <v>0</v>
      </c>
      <c r="J163" s="164">
        <f t="shared" si="20"/>
        <v>100</v>
      </c>
    </row>
    <row r="164" spans="1:10" s="11" customFormat="1" ht="22.5">
      <c r="A164" s="79" t="s">
        <v>584</v>
      </c>
      <c r="B164" s="83" t="s">
        <v>585</v>
      </c>
      <c r="C164" s="84"/>
      <c r="D164" s="84"/>
      <c r="E164" s="86"/>
      <c r="F164" s="81"/>
      <c r="G164" s="163">
        <f t="shared" si="23"/>
        <v>67.7</v>
      </c>
      <c r="H164" s="163">
        <f t="shared" si="23"/>
        <v>67.7</v>
      </c>
      <c r="I164" s="163">
        <f t="shared" si="19"/>
        <v>0</v>
      </c>
      <c r="J164" s="164">
        <f t="shared" si="20"/>
        <v>100</v>
      </c>
    </row>
    <row r="165" spans="1:10" s="11" customFormat="1" ht="22.5">
      <c r="A165" s="82" t="s">
        <v>58</v>
      </c>
      <c r="B165" s="83" t="s">
        <v>585</v>
      </c>
      <c r="C165" s="84" t="s">
        <v>67</v>
      </c>
      <c r="D165" s="84" t="s">
        <v>33</v>
      </c>
      <c r="E165" s="86"/>
      <c r="F165" s="81"/>
      <c r="G165" s="166">
        <f t="shared" si="23"/>
        <v>67.7</v>
      </c>
      <c r="H165" s="166">
        <f t="shared" si="23"/>
        <v>67.7</v>
      </c>
      <c r="I165" s="166">
        <f t="shared" si="19"/>
        <v>0</v>
      </c>
      <c r="J165" s="165">
        <f t="shared" si="20"/>
        <v>100</v>
      </c>
    </row>
    <row r="166" spans="1:10" s="11" customFormat="1" ht="22.5">
      <c r="A166" s="82" t="s">
        <v>57</v>
      </c>
      <c r="B166" s="83" t="s">
        <v>585</v>
      </c>
      <c r="C166" s="84" t="s">
        <v>67</v>
      </c>
      <c r="D166" s="84" t="s">
        <v>577</v>
      </c>
      <c r="E166" s="86"/>
      <c r="F166" s="81"/>
      <c r="G166" s="166">
        <f t="shared" si="23"/>
        <v>67.7</v>
      </c>
      <c r="H166" s="166">
        <f t="shared" si="23"/>
        <v>67.7</v>
      </c>
      <c r="I166" s="166">
        <f t="shared" si="19"/>
        <v>0</v>
      </c>
      <c r="J166" s="165">
        <f t="shared" si="20"/>
        <v>100</v>
      </c>
    </row>
    <row r="167" spans="1:10" s="11" customFormat="1" ht="22.5">
      <c r="A167" s="85" t="s">
        <v>99</v>
      </c>
      <c r="B167" s="83" t="s">
        <v>585</v>
      </c>
      <c r="C167" s="84" t="s">
        <v>67</v>
      </c>
      <c r="D167" s="84" t="s">
        <v>66</v>
      </c>
      <c r="E167" s="86" t="s">
        <v>100</v>
      </c>
      <c r="F167" s="81"/>
      <c r="G167" s="166">
        <f t="shared" si="23"/>
        <v>67.7</v>
      </c>
      <c r="H167" s="166">
        <f t="shared" si="23"/>
        <v>67.7</v>
      </c>
      <c r="I167" s="166">
        <f t="shared" si="19"/>
        <v>0</v>
      </c>
      <c r="J167" s="165">
        <f t="shared" si="20"/>
        <v>100</v>
      </c>
    </row>
    <row r="168" spans="1:10" s="11" customFormat="1" ht="22.5">
      <c r="A168" s="85" t="s">
        <v>114</v>
      </c>
      <c r="B168" s="83" t="s">
        <v>585</v>
      </c>
      <c r="C168" s="84" t="s">
        <v>67</v>
      </c>
      <c r="D168" s="84" t="s">
        <v>66</v>
      </c>
      <c r="E168" s="86" t="s">
        <v>113</v>
      </c>
      <c r="F168" s="81"/>
      <c r="G168" s="166">
        <f t="shared" si="23"/>
        <v>67.7</v>
      </c>
      <c r="H168" s="166">
        <f t="shared" si="23"/>
        <v>67.7</v>
      </c>
      <c r="I168" s="166">
        <f t="shared" si="19"/>
        <v>0</v>
      </c>
      <c r="J168" s="165">
        <f t="shared" si="20"/>
        <v>100</v>
      </c>
    </row>
    <row r="169" spans="1:10" s="11" customFormat="1" ht="22.5">
      <c r="A169" s="82" t="s">
        <v>132</v>
      </c>
      <c r="B169" s="83" t="s">
        <v>585</v>
      </c>
      <c r="C169" s="84" t="s">
        <v>67</v>
      </c>
      <c r="D169" s="84" t="s">
        <v>66</v>
      </c>
      <c r="E169" s="86" t="s">
        <v>113</v>
      </c>
      <c r="F169" s="81">
        <v>726</v>
      </c>
      <c r="G169" s="166">
        <v>67.7</v>
      </c>
      <c r="H169" s="166">
        <v>67.7</v>
      </c>
      <c r="I169" s="166">
        <f t="shared" si="19"/>
        <v>0</v>
      </c>
      <c r="J169" s="165">
        <f t="shared" si="20"/>
        <v>100</v>
      </c>
    </row>
    <row r="170" spans="1:10" s="11" customFormat="1" ht="30.6" customHeight="1">
      <c r="A170" s="79" t="s">
        <v>669</v>
      </c>
      <c r="B170" s="77" t="s">
        <v>140</v>
      </c>
      <c r="C170" s="84"/>
      <c r="D170" s="84"/>
      <c r="E170" s="86"/>
      <c r="F170" s="81"/>
      <c r="G170" s="163">
        <f>G173</f>
        <v>100</v>
      </c>
      <c r="H170" s="163">
        <f>H173</f>
        <v>100</v>
      </c>
      <c r="I170" s="163">
        <f t="shared" si="19"/>
        <v>0</v>
      </c>
      <c r="J170" s="164">
        <f t="shared" si="20"/>
        <v>100</v>
      </c>
    </row>
    <row r="171" spans="1:10" s="11" customFormat="1" ht="26.45" customHeight="1">
      <c r="A171" s="79" t="s">
        <v>599</v>
      </c>
      <c r="B171" s="77" t="s">
        <v>230</v>
      </c>
      <c r="C171" s="84"/>
      <c r="D171" s="84"/>
      <c r="E171" s="86"/>
      <c r="F171" s="81"/>
      <c r="G171" s="163">
        <f t="shared" ref="G171:H176" si="24">G172</f>
        <v>100</v>
      </c>
      <c r="H171" s="163">
        <f t="shared" si="24"/>
        <v>100</v>
      </c>
      <c r="I171" s="163">
        <f t="shared" si="19"/>
        <v>0</v>
      </c>
      <c r="J171" s="164">
        <f t="shared" si="20"/>
        <v>100</v>
      </c>
    </row>
    <row r="172" spans="1:10" s="58" customFormat="1" ht="22.5" customHeight="1">
      <c r="A172" s="79" t="s">
        <v>566</v>
      </c>
      <c r="B172" s="77" t="s">
        <v>567</v>
      </c>
      <c r="C172" s="80"/>
      <c r="D172" s="80"/>
      <c r="E172" s="88"/>
      <c r="F172" s="76"/>
      <c r="G172" s="163">
        <f t="shared" si="24"/>
        <v>100</v>
      </c>
      <c r="H172" s="163">
        <f t="shared" si="24"/>
        <v>100</v>
      </c>
      <c r="I172" s="163">
        <f t="shared" si="19"/>
        <v>0</v>
      </c>
      <c r="J172" s="164">
        <f t="shared" si="20"/>
        <v>100</v>
      </c>
    </row>
    <row r="173" spans="1:10" s="11" customFormat="1" ht="21">
      <c r="A173" s="79" t="s">
        <v>5</v>
      </c>
      <c r="B173" s="77" t="s">
        <v>567</v>
      </c>
      <c r="C173" s="80" t="s">
        <v>64</v>
      </c>
      <c r="D173" s="80" t="s">
        <v>33</v>
      </c>
      <c r="E173" s="86"/>
      <c r="F173" s="81"/>
      <c r="G173" s="166">
        <f t="shared" si="24"/>
        <v>100</v>
      </c>
      <c r="H173" s="166">
        <f t="shared" si="24"/>
        <v>100</v>
      </c>
      <c r="I173" s="166">
        <f t="shared" si="19"/>
        <v>0</v>
      </c>
      <c r="J173" s="165">
        <f t="shared" si="20"/>
        <v>100</v>
      </c>
    </row>
    <row r="174" spans="1:10" s="11" customFormat="1" ht="22.5">
      <c r="A174" s="82" t="s">
        <v>6</v>
      </c>
      <c r="B174" s="83" t="s">
        <v>567</v>
      </c>
      <c r="C174" s="84" t="s">
        <v>64</v>
      </c>
      <c r="D174" s="84" t="s">
        <v>74</v>
      </c>
      <c r="E174" s="86"/>
      <c r="F174" s="81"/>
      <c r="G174" s="166">
        <f t="shared" si="24"/>
        <v>100</v>
      </c>
      <c r="H174" s="166">
        <f t="shared" si="24"/>
        <v>100</v>
      </c>
      <c r="I174" s="166">
        <f t="shared" si="19"/>
        <v>0</v>
      </c>
      <c r="J174" s="165">
        <f t="shared" si="20"/>
        <v>100</v>
      </c>
    </row>
    <row r="175" spans="1:10" s="11" customFormat="1" ht="22.5">
      <c r="A175" s="85" t="s">
        <v>108</v>
      </c>
      <c r="B175" s="83" t="s">
        <v>567</v>
      </c>
      <c r="C175" s="84" t="s">
        <v>64</v>
      </c>
      <c r="D175" s="84" t="s">
        <v>74</v>
      </c>
      <c r="E175" s="86" t="s">
        <v>109</v>
      </c>
      <c r="F175" s="81"/>
      <c r="G175" s="166">
        <f t="shared" si="24"/>
        <v>100</v>
      </c>
      <c r="H175" s="166">
        <f t="shared" si="24"/>
        <v>100</v>
      </c>
      <c r="I175" s="166">
        <f t="shared" si="19"/>
        <v>0</v>
      </c>
      <c r="J175" s="165">
        <f t="shared" si="20"/>
        <v>100</v>
      </c>
    </row>
    <row r="176" spans="1:10" s="11" customFormat="1" ht="33.75">
      <c r="A176" s="85" t="s">
        <v>133</v>
      </c>
      <c r="B176" s="83" t="s">
        <v>567</v>
      </c>
      <c r="C176" s="84" t="s">
        <v>64</v>
      </c>
      <c r="D176" s="84" t="s">
        <v>74</v>
      </c>
      <c r="E176" s="86" t="s">
        <v>110</v>
      </c>
      <c r="F176" s="81"/>
      <c r="G176" s="166">
        <f t="shared" si="24"/>
        <v>100</v>
      </c>
      <c r="H176" s="166">
        <f t="shared" si="24"/>
        <v>100</v>
      </c>
      <c r="I176" s="166">
        <f t="shared" si="19"/>
        <v>0</v>
      </c>
      <c r="J176" s="165">
        <f t="shared" si="20"/>
        <v>100</v>
      </c>
    </row>
    <row r="177" spans="1:10" s="11" customFormat="1" ht="22.5">
      <c r="A177" s="87" t="s">
        <v>128</v>
      </c>
      <c r="B177" s="83" t="s">
        <v>567</v>
      </c>
      <c r="C177" s="84" t="s">
        <v>64</v>
      </c>
      <c r="D177" s="84" t="s">
        <v>74</v>
      </c>
      <c r="E177" s="86" t="s">
        <v>110</v>
      </c>
      <c r="F177" s="81">
        <v>721</v>
      </c>
      <c r="G177" s="166">
        <v>100</v>
      </c>
      <c r="H177" s="166">
        <v>100</v>
      </c>
      <c r="I177" s="166">
        <f t="shared" si="19"/>
        <v>0</v>
      </c>
      <c r="J177" s="165">
        <f t="shared" si="20"/>
        <v>100</v>
      </c>
    </row>
    <row r="178" spans="1:10" s="11" customFormat="1" ht="32.25">
      <c r="A178" s="89" t="s">
        <v>512</v>
      </c>
      <c r="B178" s="77" t="s">
        <v>522</v>
      </c>
      <c r="C178" s="84"/>
      <c r="D178" s="84"/>
      <c r="E178" s="86"/>
      <c r="F178" s="81"/>
      <c r="G178" s="163">
        <f t="shared" ref="G178:H184" si="25">G179</f>
        <v>55</v>
      </c>
      <c r="H178" s="163">
        <f t="shared" si="25"/>
        <v>55</v>
      </c>
      <c r="I178" s="163">
        <f t="shared" si="19"/>
        <v>0</v>
      </c>
      <c r="J178" s="164">
        <f t="shared" si="20"/>
        <v>100</v>
      </c>
    </row>
    <row r="179" spans="1:10" s="58" customFormat="1" ht="33" customHeight="1">
      <c r="A179" s="90" t="s">
        <v>513</v>
      </c>
      <c r="B179" s="77" t="s">
        <v>523</v>
      </c>
      <c r="C179" s="80"/>
      <c r="D179" s="80"/>
      <c r="E179" s="88"/>
      <c r="F179" s="76"/>
      <c r="G179" s="163">
        <f t="shared" si="25"/>
        <v>55</v>
      </c>
      <c r="H179" s="163">
        <f t="shared" si="25"/>
        <v>55</v>
      </c>
      <c r="I179" s="163">
        <f t="shared" si="19"/>
        <v>0</v>
      </c>
      <c r="J179" s="164">
        <f t="shared" si="20"/>
        <v>100</v>
      </c>
    </row>
    <row r="180" spans="1:10" s="58" customFormat="1" ht="42.75">
      <c r="A180" s="89" t="s">
        <v>514</v>
      </c>
      <c r="B180" s="77" t="s">
        <v>515</v>
      </c>
      <c r="C180" s="80"/>
      <c r="D180" s="80"/>
      <c r="E180" s="88"/>
      <c r="F180" s="76"/>
      <c r="G180" s="163">
        <f t="shared" si="25"/>
        <v>55</v>
      </c>
      <c r="H180" s="163">
        <f t="shared" si="25"/>
        <v>55</v>
      </c>
      <c r="I180" s="163">
        <f t="shared" si="19"/>
        <v>0</v>
      </c>
      <c r="J180" s="164">
        <f t="shared" si="20"/>
        <v>100</v>
      </c>
    </row>
    <row r="181" spans="1:10" s="58" customFormat="1" ht="21">
      <c r="A181" s="90" t="s">
        <v>126</v>
      </c>
      <c r="B181" s="77" t="s">
        <v>515</v>
      </c>
      <c r="C181" s="80" t="s">
        <v>68</v>
      </c>
      <c r="D181" s="80" t="s">
        <v>33</v>
      </c>
      <c r="E181" s="88"/>
      <c r="F181" s="76"/>
      <c r="G181" s="163">
        <f t="shared" si="25"/>
        <v>55</v>
      </c>
      <c r="H181" s="163">
        <f t="shared" si="25"/>
        <v>55</v>
      </c>
      <c r="I181" s="166">
        <f t="shared" si="19"/>
        <v>0</v>
      </c>
      <c r="J181" s="165">
        <f t="shared" si="20"/>
        <v>100</v>
      </c>
    </row>
    <row r="182" spans="1:10" s="11" customFormat="1" ht="22.5">
      <c r="A182" s="87" t="s">
        <v>172</v>
      </c>
      <c r="B182" s="83" t="s">
        <v>515</v>
      </c>
      <c r="C182" s="84" t="s">
        <v>68</v>
      </c>
      <c r="D182" s="84" t="s">
        <v>66</v>
      </c>
      <c r="E182" s="86"/>
      <c r="F182" s="81"/>
      <c r="G182" s="166">
        <f t="shared" si="25"/>
        <v>55</v>
      </c>
      <c r="H182" s="166">
        <f t="shared" si="25"/>
        <v>55</v>
      </c>
      <c r="I182" s="166">
        <f t="shared" si="19"/>
        <v>0</v>
      </c>
      <c r="J182" s="165">
        <f t="shared" si="20"/>
        <v>100</v>
      </c>
    </row>
    <row r="183" spans="1:10" s="11" customFormat="1" ht="22.5">
      <c r="A183" s="85" t="s">
        <v>331</v>
      </c>
      <c r="B183" s="83" t="s">
        <v>515</v>
      </c>
      <c r="C183" s="84" t="s">
        <v>68</v>
      </c>
      <c r="D183" s="84" t="s">
        <v>66</v>
      </c>
      <c r="E183" s="86" t="s">
        <v>92</v>
      </c>
      <c r="F183" s="81"/>
      <c r="G183" s="166">
        <f t="shared" si="25"/>
        <v>55</v>
      </c>
      <c r="H183" s="166">
        <f t="shared" si="25"/>
        <v>55</v>
      </c>
      <c r="I183" s="166">
        <f t="shared" si="19"/>
        <v>0</v>
      </c>
      <c r="J183" s="165">
        <f t="shared" si="20"/>
        <v>100</v>
      </c>
    </row>
    <row r="184" spans="1:10" s="11" customFormat="1" ht="22.5">
      <c r="A184" s="85" t="s">
        <v>558</v>
      </c>
      <c r="B184" s="83" t="s">
        <v>515</v>
      </c>
      <c r="C184" s="84" t="s">
        <v>68</v>
      </c>
      <c r="D184" s="84" t="s">
        <v>66</v>
      </c>
      <c r="E184" s="86" t="s">
        <v>89</v>
      </c>
      <c r="F184" s="81"/>
      <c r="G184" s="166">
        <f t="shared" si="25"/>
        <v>55</v>
      </c>
      <c r="H184" s="166">
        <f t="shared" si="25"/>
        <v>55</v>
      </c>
      <c r="I184" s="166">
        <f t="shared" si="19"/>
        <v>0</v>
      </c>
      <c r="J184" s="165">
        <f t="shared" si="20"/>
        <v>100</v>
      </c>
    </row>
    <row r="185" spans="1:10" s="11" customFormat="1" ht="22.5">
      <c r="A185" s="85" t="s">
        <v>318</v>
      </c>
      <c r="B185" s="83" t="s">
        <v>515</v>
      </c>
      <c r="C185" s="84" t="s">
        <v>68</v>
      </c>
      <c r="D185" s="84" t="s">
        <v>66</v>
      </c>
      <c r="E185" s="86" t="s">
        <v>89</v>
      </c>
      <c r="F185" s="81">
        <v>727</v>
      </c>
      <c r="G185" s="166">
        <v>55</v>
      </c>
      <c r="H185" s="166">
        <v>55</v>
      </c>
      <c r="I185" s="166">
        <f t="shared" si="19"/>
        <v>0</v>
      </c>
      <c r="J185" s="165">
        <f t="shared" si="20"/>
        <v>100</v>
      </c>
    </row>
    <row r="186" spans="1:10" s="11" customFormat="1" ht="26.45" customHeight="1">
      <c r="A186" s="79" t="s">
        <v>670</v>
      </c>
      <c r="B186" s="77" t="s">
        <v>147</v>
      </c>
      <c r="C186" s="83"/>
      <c r="D186" s="83"/>
      <c r="E186" s="86"/>
      <c r="F186" s="81"/>
      <c r="G186" s="163">
        <f>G187+G200</f>
        <v>8875.1</v>
      </c>
      <c r="H186" s="163">
        <f>H187+H200</f>
        <v>8448.7000000000007</v>
      </c>
      <c r="I186" s="163">
        <f t="shared" si="19"/>
        <v>426.39999999999964</v>
      </c>
      <c r="J186" s="164">
        <f t="shared" si="20"/>
        <v>95.195547092427134</v>
      </c>
    </row>
    <row r="187" spans="1:10" s="11" customFormat="1" ht="25.15" customHeight="1">
      <c r="A187" s="79" t="s">
        <v>185</v>
      </c>
      <c r="B187" s="77" t="s">
        <v>243</v>
      </c>
      <c r="C187" s="83"/>
      <c r="D187" s="83"/>
      <c r="E187" s="86"/>
      <c r="F187" s="81"/>
      <c r="G187" s="163">
        <f>G194+G188</f>
        <v>7800.9000000000005</v>
      </c>
      <c r="H187" s="163">
        <f>H194+H188</f>
        <v>7374.6</v>
      </c>
      <c r="I187" s="163">
        <f t="shared" si="19"/>
        <v>426.30000000000018</v>
      </c>
      <c r="J187" s="164">
        <f t="shared" si="20"/>
        <v>94.535245933161562</v>
      </c>
    </row>
    <row r="188" spans="1:10" s="58" customFormat="1" ht="21" customHeight="1">
      <c r="A188" s="89" t="s">
        <v>365</v>
      </c>
      <c r="B188" s="77" t="s">
        <v>305</v>
      </c>
      <c r="C188" s="77"/>
      <c r="D188" s="77"/>
      <c r="E188" s="88"/>
      <c r="F188" s="76"/>
      <c r="G188" s="163">
        <f t="shared" ref="G188:H192" si="26">G189</f>
        <v>4364.6000000000004</v>
      </c>
      <c r="H188" s="163">
        <f t="shared" si="26"/>
        <v>3972.3</v>
      </c>
      <c r="I188" s="163">
        <f t="shared" si="19"/>
        <v>392.30000000000018</v>
      </c>
      <c r="J188" s="164">
        <f t="shared" si="20"/>
        <v>91.011776566008336</v>
      </c>
    </row>
    <row r="189" spans="1:10" s="11" customFormat="1" ht="15" customHeight="1">
      <c r="A189" s="79" t="s">
        <v>7</v>
      </c>
      <c r="B189" s="77" t="s">
        <v>305</v>
      </c>
      <c r="C189" s="80" t="s">
        <v>65</v>
      </c>
      <c r="D189" s="80" t="s">
        <v>33</v>
      </c>
      <c r="E189" s="86"/>
      <c r="F189" s="81"/>
      <c r="G189" s="163">
        <f t="shared" si="26"/>
        <v>4364.6000000000004</v>
      </c>
      <c r="H189" s="163">
        <f t="shared" si="26"/>
        <v>3972.3</v>
      </c>
      <c r="I189" s="163">
        <f t="shared" si="19"/>
        <v>392.30000000000018</v>
      </c>
      <c r="J189" s="164">
        <f t="shared" si="20"/>
        <v>91.011776566008336</v>
      </c>
    </row>
    <row r="190" spans="1:10" s="11" customFormat="1" ht="12" customHeight="1">
      <c r="A190" s="82" t="s">
        <v>334</v>
      </c>
      <c r="B190" s="83" t="s">
        <v>305</v>
      </c>
      <c r="C190" s="84" t="s">
        <v>65</v>
      </c>
      <c r="D190" s="84" t="s">
        <v>65</v>
      </c>
      <c r="E190" s="86"/>
      <c r="F190" s="81"/>
      <c r="G190" s="166">
        <f t="shared" si="26"/>
        <v>4364.6000000000004</v>
      </c>
      <c r="H190" s="166">
        <f t="shared" si="26"/>
        <v>3972.3</v>
      </c>
      <c r="I190" s="166">
        <f t="shared" si="19"/>
        <v>392.30000000000018</v>
      </c>
      <c r="J190" s="165">
        <f t="shared" si="20"/>
        <v>91.011776566008336</v>
      </c>
    </row>
    <row r="191" spans="1:10" s="11" customFormat="1" ht="25.15" customHeight="1">
      <c r="A191" s="85" t="s">
        <v>93</v>
      </c>
      <c r="B191" s="83" t="s">
        <v>305</v>
      </c>
      <c r="C191" s="84" t="s">
        <v>65</v>
      </c>
      <c r="D191" s="84" t="s">
        <v>65</v>
      </c>
      <c r="E191" s="86">
        <v>600</v>
      </c>
      <c r="F191" s="81"/>
      <c r="G191" s="166">
        <f t="shared" si="26"/>
        <v>4364.6000000000004</v>
      </c>
      <c r="H191" s="166">
        <f t="shared" si="26"/>
        <v>3972.3</v>
      </c>
      <c r="I191" s="166">
        <f t="shared" si="19"/>
        <v>392.30000000000018</v>
      </c>
      <c r="J191" s="165">
        <f t="shared" si="20"/>
        <v>91.011776566008336</v>
      </c>
    </row>
    <row r="192" spans="1:10" s="11" customFormat="1" ht="16.899999999999999" customHeight="1">
      <c r="A192" s="85" t="s">
        <v>97</v>
      </c>
      <c r="B192" s="83" t="s">
        <v>305</v>
      </c>
      <c r="C192" s="84" t="s">
        <v>65</v>
      </c>
      <c r="D192" s="84" t="s">
        <v>65</v>
      </c>
      <c r="E192" s="86">
        <v>610</v>
      </c>
      <c r="F192" s="81"/>
      <c r="G192" s="166">
        <f t="shared" si="26"/>
        <v>4364.6000000000004</v>
      </c>
      <c r="H192" s="166">
        <f t="shared" si="26"/>
        <v>3972.3</v>
      </c>
      <c r="I192" s="166">
        <f t="shared" si="19"/>
        <v>392.30000000000018</v>
      </c>
      <c r="J192" s="165">
        <f t="shared" si="20"/>
        <v>91.011776566008336</v>
      </c>
    </row>
    <row r="193" spans="1:10" s="11" customFormat="1" ht="22.5">
      <c r="A193" s="82" t="s">
        <v>131</v>
      </c>
      <c r="B193" s="83" t="s">
        <v>305</v>
      </c>
      <c r="C193" s="84" t="s">
        <v>65</v>
      </c>
      <c r="D193" s="84" t="s">
        <v>65</v>
      </c>
      <c r="E193" s="86" t="s">
        <v>98</v>
      </c>
      <c r="F193" s="81">
        <v>725</v>
      </c>
      <c r="G193" s="166">
        <f>2825.1+1539.5</f>
        <v>4364.6000000000004</v>
      </c>
      <c r="H193" s="166">
        <v>3972.3</v>
      </c>
      <c r="I193" s="166">
        <f t="shared" si="19"/>
        <v>392.30000000000018</v>
      </c>
      <c r="J193" s="165">
        <f t="shared" si="20"/>
        <v>91.011776566008336</v>
      </c>
    </row>
    <row r="194" spans="1:10" s="11" customFormat="1" ht="21.75">
      <c r="A194" s="89" t="s">
        <v>560</v>
      </c>
      <c r="B194" s="77" t="s">
        <v>306</v>
      </c>
      <c r="C194" s="83"/>
      <c r="D194" s="83"/>
      <c r="E194" s="86"/>
      <c r="F194" s="81"/>
      <c r="G194" s="163">
        <f t="shared" ref="G194:H198" si="27">G195</f>
        <v>3436.3</v>
      </c>
      <c r="H194" s="163">
        <f t="shared" si="27"/>
        <v>3402.3</v>
      </c>
      <c r="I194" s="163">
        <f t="shared" si="19"/>
        <v>34</v>
      </c>
      <c r="J194" s="164">
        <f t="shared" si="20"/>
        <v>99.010563687687338</v>
      </c>
    </row>
    <row r="195" spans="1:10" s="11" customFormat="1" ht="21">
      <c r="A195" s="79" t="s">
        <v>7</v>
      </c>
      <c r="B195" s="77" t="s">
        <v>306</v>
      </c>
      <c r="C195" s="80" t="s">
        <v>65</v>
      </c>
      <c r="D195" s="80" t="s">
        <v>33</v>
      </c>
      <c r="E195" s="86"/>
      <c r="F195" s="81"/>
      <c r="G195" s="163">
        <f t="shared" si="27"/>
        <v>3436.3</v>
      </c>
      <c r="H195" s="163">
        <f t="shared" si="27"/>
        <v>3402.3</v>
      </c>
      <c r="I195" s="163">
        <f t="shared" si="19"/>
        <v>34</v>
      </c>
      <c r="J195" s="164">
        <f t="shared" si="20"/>
        <v>99.010563687687338</v>
      </c>
    </row>
    <row r="196" spans="1:10" s="11" customFormat="1">
      <c r="A196" s="82" t="s">
        <v>334</v>
      </c>
      <c r="B196" s="83" t="s">
        <v>306</v>
      </c>
      <c r="C196" s="84" t="s">
        <v>65</v>
      </c>
      <c r="D196" s="84" t="s">
        <v>65</v>
      </c>
      <c r="E196" s="86"/>
      <c r="F196" s="81"/>
      <c r="G196" s="166">
        <f t="shared" si="27"/>
        <v>3436.3</v>
      </c>
      <c r="H196" s="166">
        <f t="shared" si="27"/>
        <v>3402.3</v>
      </c>
      <c r="I196" s="166">
        <f t="shared" si="19"/>
        <v>34</v>
      </c>
      <c r="J196" s="165">
        <f t="shared" si="20"/>
        <v>99.010563687687338</v>
      </c>
    </row>
    <row r="197" spans="1:10" s="11" customFormat="1" ht="22.5">
      <c r="A197" s="85" t="s">
        <v>93</v>
      </c>
      <c r="B197" s="83" t="s">
        <v>306</v>
      </c>
      <c r="C197" s="84" t="s">
        <v>65</v>
      </c>
      <c r="D197" s="84" t="s">
        <v>65</v>
      </c>
      <c r="E197" s="86" t="s">
        <v>94</v>
      </c>
      <c r="F197" s="81"/>
      <c r="G197" s="166">
        <f t="shared" si="27"/>
        <v>3436.3</v>
      </c>
      <c r="H197" s="166">
        <f t="shared" si="27"/>
        <v>3402.3</v>
      </c>
      <c r="I197" s="166">
        <f t="shared" si="19"/>
        <v>34</v>
      </c>
      <c r="J197" s="165">
        <f t="shared" si="20"/>
        <v>99.010563687687338</v>
      </c>
    </row>
    <row r="198" spans="1:10" s="11" customFormat="1">
      <c r="A198" s="85" t="s">
        <v>97</v>
      </c>
      <c r="B198" s="83" t="s">
        <v>306</v>
      </c>
      <c r="C198" s="84" t="s">
        <v>65</v>
      </c>
      <c r="D198" s="84" t="s">
        <v>65</v>
      </c>
      <c r="E198" s="86" t="s">
        <v>98</v>
      </c>
      <c r="F198" s="81"/>
      <c r="G198" s="166">
        <f t="shared" si="27"/>
        <v>3436.3</v>
      </c>
      <c r="H198" s="166">
        <f t="shared" si="27"/>
        <v>3402.3</v>
      </c>
      <c r="I198" s="166">
        <f t="shared" si="19"/>
        <v>34</v>
      </c>
      <c r="J198" s="165">
        <f t="shared" si="20"/>
        <v>99.010563687687338</v>
      </c>
    </row>
    <row r="199" spans="1:10" s="11" customFormat="1" ht="22.5">
      <c r="A199" s="82" t="s">
        <v>131</v>
      </c>
      <c r="B199" s="83" t="s">
        <v>306</v>
      </c>
      <c r="C199" s="84" t="s">
        <v>65</v>
      </c>
      <c r="D199" s="84" t="s">
        <v>65</v>
      </c>
      <c r="E199" s="86" t="s">
        <v>98</v>
      </c>
      <c r="F199" s="81">
        <v>725</v>
      </c>
      <c r="G199" s="166">
        <f>3486.9-50.6</f>
        <v>3436.3</v>
      </c>
      <c r="H199" s="166">
        <v>3402.3</v>
      </c>
      <c r="I199" s="166">
        <f t="shared" si="19"/>
        <v>34</v>
      </c>
      <c r="J199" s="165">
        <f t="shared" si="20"/>
        <v>99.010563687687338</v>
      </c>
    </row>
    <row r="200" spans="1:10" s="11" customFormat="1" ht="30.6" customHeight="1">
      <c r="A200" s="115" t="s">
        <v>691</v>
      </c>
      <c r="B200" s="77" t="s">
        <v>617</v>
      </c>
      <c r="C200" s="84"/>
      <c r="D200" s="84"/>
      <c r="E200" s="86"/>
      <c r="F200" s="81"/>
      <c r="G200" s="163">
        <f t="shared" ref="G200:H205" si="28">G201</f>
        <v>1074.2</v>
      </c>
      <c r="H200" s="163">
        <f t="shared" si="28"/>
        <v>1074.0999999999999</v>
      </c>
      <c r="I200" s="163">
        <f t="shared" si="19"/>
        <v>0.10000000000013642</v>
      </c>
      <c r="J200" s="164">
        <f t="shared" si="20"/>
        <v>99.990690746602112</v>
      </c>
    </row>
    <row r="201" spans="1:10" s="11" customFormat="1" ht="22.5">
      <c r="A201" s="124" t="s">
        <v>151</v>
      </c>
      <c r="B201" s="77" t="s">
        <v>616</v>
      </c>
      <c r="C201" s="83"/>
      <c r="D201" s="83"/>
      <c r="E201" s="86"/>
      <c r="F201" s="81"/>
      <c r="G201" s="163">
        <f t="shared" si="28"/>
        <v>1074.2</v>
      </c>
      <c r="H201" s="163">
        <f t="shared" si="28"/>
        <v>1074.0999999999999</v>
      </c>
      <c r="I201" s="163">
        <f t="shared" ref="I201:I264" si="29">G201-H201</f>
        <v>0.10000000000013642</v>
      </c>
      <c r="J201" s="164">
        <f t="shared" ref="J201:J264" si="30">H201/G201*100</f>
        <v>99.990690746602112</v>
      </c>
    </row>
    <row r="202" spans="1:10" s="11" customFormat="1" ht="12.75" customHeight="1">
      <c r="A202" s="79" t="s">
        <v>7</v>
      </c>
      <c r="B202" s="77" t="s">
        <v>616</v>
      </c>
      <c r="C202" s="80" t="s">
        <v>65</v>
      </c>
      <c r="D202" s="80" t="s">
        <v>33</v>
      </c>
      <c r="E202" s="86"/>
      <c r="F202" s="81"/>
      <c r="G202" s="163">
        <f t="shared" si="28"/>
        <v>1074.2</v>
      </c>
      <c r="H202" s="163">
        <f t="shared" si="28"/>
        <v>1074.0999999999999</v>
      </c>
      <c r="I202" s="163">
        <f t="shared" si="29"/>
        <v>0.10000000000013642</v>
      </c>
      <c r="J202" s="164">
        <f t="shared" si="30"/>
        <v>99.990690746602112</v>
      </c>
    </row>
    <row r="203" spans="1:10" s="11" customFormat="1">
      <c r="A203" s="82" t="s">
        <v>334</v>
      </c>
      <c r="B203" s="83" t="s">
        <v>616</v>
      </c>
      <c r="C203" s="84" t="s">
        <v>65</v>
      </c>
      <c r="D203" s="84" t="s">
        <v>65</v>
      </c>
      <c r="E203" s="86"/>
      <c r="F203" s="81"/>
      <c r="G203" s="166">
        <f t="shared" si="28"/>
        <v>1074.2</v>
      </c>
      <c r="H203" s="166">
        <f t="shared" si="28"/>
        <v>1074.0999999999999</v>
      </c>
      <c r="I203" s="166">
        <f t="shared" si="29"/>
        <v>0.10000000000013642</v>
      </c>
      <c r="J203" s="165">
        <f t="shared" si="30"/>
        <v>99.990690746602112</v>
      </c>
    </row>
    <row r="204" spans="1:10" s="11" customFormat="1" ht="22.5">
      <c r="A204" s="85" t="s">
        <v>93</v>
      </c>
      <c r="B204" s="83" t="s">
        <v>616</v>
      </c>
      <c r="C204" s="84" t="s">
        <v>65</v>
      </c>
      <c r="D204" s="84" t="s">
        <v>65</v>
      </c>
      <c r="E204" s="86" t="s">
        <v>94</v>
      </c>
      <c r="F204" s="81"/>
      <c r="G204" s="166">
        <f t="shared" si="28"/>
        <v>1074.2</v>
      </c>
      <c r="H204" s="166">
        <f t="shared" si="28"/>
        <v>1074.0999999999999</v>
      </c>
      <c r="I204" s="166">
        <f t="shared" si="29"/>
        <v>0.10000000000013642</v>
      </c>
      <c r="J204" s="165">
        <f t="shared" si="30"/>
        <v>99.990690746602112</v>
      </c>
    </row>
    <row r="205" spans="1:10" s="11" customFormat="1" ht="12.75" customHeight="1">
      <c r="A205" s="85" t="s">
        <v>97</v>
      </c>
      <c r="B205" s="83" t="s">
        <v>616</v>
      </c>
      <c r="C205" s="84" t="s">
        <v>65</v>
      </c>
      <c r="D205" s="84" t="s">
        <v>65</v>
      </c>
      <c r="E205" s="86" t="s">
        <v>98</v>
      </c>
      <c r="F205" s="81"/>
      <c r="G205" s="166">
        <f t="shared" si="28"/>
        <v>1074.2</v>
      </c>
      <c r="H205" s="166">
        <f t="shared" si="28"/>
        <v>1074.0999999999999</v>
      </c>
      <c r="I205" s="166">
        <f t="shared" si="29"/>
        <v>0.10000000000013642</v>
      </c>
      <c r="J205" s="165">
        <f t="shared" si="30"/>
        <v>99.990690746602112</v>
      </c>
    </row>
    <row r="206" spans="1:10" s="11" customFormat="1" ht="22.5">
      <c r="A206" s="82" t="s">
        <v>131</v>
      </c>
      <c r="B206" s="83" t="s">
        <v>616</v>
      </c>
      <c r="C206" s="84" t="s">
        <v>65</v>
      </c>
      <c r="D206" s="84" t="s">
        <v>65</v>
      </c>
      <c r="E206" s="86" t="s">
        <v>98</v>
      </c>
      <c r="F206" s="81">
        <v>725</v>
      </c>
      <c r="G206" s="166">
        <f>1023.6+50.6</f>
        <v>1074.2</v>
      </c>
      <c r="H206" s="166">
        <v>1074.0999999999999</v>
      </c>
      <c r="I206" s="166">
        <f t="shared" si="29"/>
        <v>0.10000000000013642</v>
      </c>
      <c r="J206" s="165">
        <f t="shared" si="30"/>
        <v>99.990690746602112</v>
      </c>
    </row>
    <row r="207" spans="1:10" s="11" customFormat="1" ht="32.25">
      <c r="A207" s="79" t="s">
        <v>671</v>
      </c>
      <c r="B207" s="77" t="s">
        <v>158</v>
      </c>
      <c r="C207" s="80"/>
      <c r="D207" s="80"/>
      <c r="E207" s="86"/>
      <c r="F207" s="81"/>
      <c r="G207" s="163">
        <f>G208+G215</f>
        <v>300</v>
      </c>
      <c r="H207" s="163">
        <f>H208+H215</f>
        <v>300</v>
      </c>
      <c r="I207" s="163">
        <f t="shared" si="29"/>
        <v>0</v>
      </c>
      <c r="J207" s="164">
        <f t="shared" si="30"/>
        <v>100</v>
      </c>
    </row>
    <row r="208" spans="1:10" s="11" customFormat="1" ht="21">
      <c r="A208" s="79" t="s">
        <v>189</v>
      </c>
      <c r="B208" s="77" t="s">
        <v>248</v>
      </c>
      <c r="C208" s="80"/>
      <c r="D208" s="80"/>
      <c r="E208" s="86"/>
      <c r="F208" s="81"/>
      <c r="G208" s="163">
        <f t="shared" ref="G208:H213" si="31">G209</f>
        <v>50</v>
      </c>
      <c r="H208" s="163">
        <f t="shared" si="31"/>
        <v>50</v>
      </c>
      <c r="I208" s="163">
        <f t="shared" si="29"/>
        <v>0</v>
      </c>
      <c r="J208" s="164">
        <f t="shared" si="30"/>
        <v>100</v>
      </c>
    </row>
    <row r="209" spans="1:10" s="11" customFormat="1" ht="21.75">
      <c r="A209" s="79" t="s">
        <v>366</v>
      </c>
      <c r="B209" s="77" t="s">
        <v>367</v>
      </c>
      <c r="C209" s="80"/>
      <c r="D209" s="80"/>
      <c r="E209" s="86"/>
      <c r="F209" s="81"/>
      <c r="G209" s="163">
        <f t="shared" si="31"/>
        <v>50</v>
      </c>
      <c r="H209" s="163">
        <f t="shared" si="31"/>
        <v>50</v>
      </c>
      <c r="I209" s="163">
        <f t="shared" si="29"/>
        <v>0</v>
      </c>
      <c r="J209" s="164">
        <f t="shared" si="30"/>
        <v>100</v>
      </c>
    </row>
    <row r="210" spans="1:10" s="11" customFormat="1" ht="21">
      <c r="A210" s="79" t="s">
        <v>7</v>
      </c>
      <c r="B210" s="77" t="s">
        <v>367</v>
      </c>
      <c r="C210" s="80" t="s">
        <v>65</v>
      </c>
      <c r="D210" s="80" t="s">
        <v>33</v>
      </c>
      <c r="E210" s="86"/>
      <c r="F210" s="81"/>
      <c r="G210" s="163">
        <f t="shared" si="31"/>
        <v>50</v>
      </c>
      <c r="H210" s="163">
        <f t="shared" si="31"/>
        <v>50</v>
      </c>
      <c r="I210" s="163">
        <f t="shared" si="29"/>
        <v>0</v>
      </c>
      <c r="J210" s="164">
        <f t="shared" si="30"/>
        <v>100</v>
      </c>
    </row>
    <row r="211" spans="1:10" s="11" customFormat="1" ht="22.5">
      <c r="A211" s="82" t="s">
        <v>334</v>
      </c>
      <c r="B211" s="83" t="s">
        <v>367</v>
      </c>
      <c r="C211" s="84" t="s">
        <v>65</v>
      </c>
      <c r="D211" s="84" t="s">
        <v>65</v>
      </c>
      <c r="E211" s="86"/>
      <c r="F211" s="81"/>
      <c r="G211" s="163">
        <f t="shared" si="31"/>
        <v>50</v>
      </c>
      <c r="H211" s="163">
        <f t="shared" si="31"/>
        <v>50</v>
      </c>
      <c r="I211" s="166">
        <f t="shared" si="29"/>
        <v>0</v>
      </c>
      <c r="J211" s="165">
        <f t="shared" si="30"/>
        <v>100</v>
      </c>
    </row>
    <row r="212" spans="1:10" s="11" customFormat="1" ht="22.5">
      <c r="A212" s="85" t="s">
        <v>331</v>
      </c>
      <c r="B212" s="83" t="s">
        <v>367</v>
      </c>
      <c r="C212" s="84" t="s">
        <v>65</v>
      </c>
      <c r="D212" s="84" t="s">
        <v>65</v>
      </c>
      <c r="E212" s="86" t="s">
        <v>92</v>
      </c>
      <c r="F212" s="81"/>
      <c r="G212" s="166">
        <f t="shared" si="31"/>
        <v>50</v>
      </c>
      <c r="H212" s="166">
        <f t="shared" si="31"/>
        <v>50</v>
      </c>
      <c r="I212" s="166">
        <f t="shared" si="29"/>
        <v>0</v>
      </c>
      <c r="J212" s="165">
        <f t="shared" si="30"/>
        <v>100</v>
      </c>
    </row>
    <row r="213" spans="1:10" s="11" customFormat="1" ht="24.6" customHeight="1">
      <c r="A213" s="85" t="s">
        <v>558</v>
      </c>
      <c r="B213" s="83" t="s">
        <v>367</v>
      </c>
      <c r="C213" s="84" t="s">
        <v>65</v>
      </c>
      <c r="D213" s="84" t="s">
        <v>65</v>
      </c>
      <c r="E213" s="86" t="s">
        <v>89</v>
      </c>
      <c r="F213" s="81"/>
      <c r="G213" s="166">
        <f t="shared" si="31"/>
        <v>50</v>
      </c>
      <c r="H213" s="166">
        <f t="shared" si="31"/>
        <v>50</v>
      </c>
      <c r="I213" s="166">
        <f t="shared" si="29"/>
        <v>0</v>
      </c>
      <c r="J213" s="165">
        <f t="shared" si="30"/>
        <v>100</v>
      </c>
    </row>
    <row r="214" spans="1:10" s="11" customFormat="1" ht="22.5">
      <c r="A214" s="82" t="s">
        <v>132</v>
      </c>
      <c r="B214" s="83" t="s">
        <v>367</v>
      </c>
      <c r="C214" s="84" t="s">
        <v>65</v>
      </c>
      <c r="D214" s="84" t="s">
        <v>65</v>
      </c>
      <c r="E214" s="86" t="s">
        <v>89</v>
      </c>
      <c r="F214" s="81">
        <v>726</v>
      </c>
      <c r="G214" s="166">
        <v>50</v>
      </c>
      <c r="H214" s="166">
        <v>50</v>
      </c>
      <c r="I214" s="166">
        <f t="shared" si="29"/>
        <v>0</v>
      </c>
      <c r="J214" s="165">
        <f t="shared" si="30"/>
        <v>100</v>
      </c>
    </row>
    <row r="215" spans="1:10" s="11" customFormat="1" ht="21">
      <c r="A215" s="79" t="s">
        <v>190</v>
      </c>
      <c r="B215" s="77" t="s">
        <v>249</v>
      </c>
      <c r="C215" s="80"/>
      <c r="D215" s="80"/>
      <c r="E215" s="86"/>
      <c r="F215" s="81"/>
      <c r="G215" s="163">
        <f>G216+G222+G228+G234</f>
        <v>250</v>
      </c>
      <c r="H215" s="163">
        <f>H216+H222+H228+H234</f>
        <v>250</v>
      </c>
      <c r="I215" s="163">
        <f t="shared" si="29"/>
        <v>0</v>
      </c>
      <c r="J215" s="164">
        <f t="shared" si="30"/>
        <v>100</v>
      </c>
    </row>
    <row r="216" spans="1:10" s="11" customFormat="1" ht="21">
      <c r="A216" s="79" t="s">
        <v>159</v>
      </c>
      <c r="B216" s="77" t="s">
        <v>250</v>
      </c>
      <c r="C216" s="80"/>
      <c r="D216" s="80"/>
      <c r="E216" s="86"/>
      <c r="F216" s="81"/>
      <c r="G216" s="163">
        <f t="shared" ref="G216:H220" si="32">G217</f>
        <v>95</v>
      </c>
      <c r="H216" s="163">
        <f t="shared" si="32"/>
        <v>95</v>
      </c>
      <c r="I216" s="163">
        <f t="shared" si="29"/>
        <v>0</v>
      </c>
      <c r="J216" s="164">
        <f t="shared" si="30"/>
        <v>100</v>
      </c>
    </row>
    <row r="217" spans="1:10" s="11" customFormat="1" ht="21">
      <c r="A217" s="79" t="s">
        <v>7</v>
      </c>
      <c r="B217" s="77" t="s">
        <v>250</v>
      </c>
      <c r="C217" s="80" t="s">
        <v>65</v>
      </c>
      <c r="D217" s="80" t="s">
        <v>33</v>
      </c>
      <c r="E217" s="86"/>
      <c r="F217" s="81"/>
      <c r="G217" s="163">
        <f t="shared" si="32"/>
        <v>95</v>
      </c>
      <c r="H217" s="163">
        <f t="shared" si="32"/>
        <v>95</v>
      </c>
      <c r="I217" s="163">
        <f t="shared" si="29"/>
        <v>0</v>
      </c>
      <c r="J217" s="164">
        <f t="shared" si="30"/>
        <v>100</v>
      </c>
    </row>
    <row r="218" spans="1:10" s="11" customFormat="1" ht="22.5">
      <c r="A218" s="82" t="s">
        <v>334</v>
      </c>
      <c r="B218" s="83" t="s">
        <v>250</v>
      </c>
      <c r="C218" s="84" t="s">
        <v>65</v>
      </c>
      <c r="D218" s="84" t="s">
        <v>65</v>
      </c>
      <c r="E218" s="86"/>
      <c r="F218" s="81"/>
      <c r="G218" s="163">
        <f t="shared" si="32"/>
        <v>95</v>
      </c>
      <c r="H218" s="163">
        <f t="shared" si="32"/>
        <v>95</v>
      </c>
      <c r="I218" s="163">
        <f t="shared" si="29"/>
        <v>0</v>
      </c>
      <c r="J218" s="164">
        <f t="shared" si="30"/>
        <v>100</v>
      </c>
    </row>
    <row r="219" spans="1:10" s="11" customFormat="1" ht="22.5">
      <c r="A219" s="85" t="s">
        <v>331</v>
      </c>
      <c r="B219" s="83" t="s">
        <v>250</v>
      </c>
      <c r="C219" s="84" t="s">
        <v>65</v>
      </c>
      <c r="D219" s="84" t="s">
        <v>65</v>
      </c>
      <c r="E219" s="86" t="s">
        <v>92</v>
      </c>
      <c r="F219" s="81"/>
      <c r="G219" s="166">
        <f t="shared" si="32"/>
        <v>95</v>
      </c>
      <c r="H219" s="166">
        <f t="shared" si="32"/>
        <v>95</v>
      </c>
      <c r="I219" s="166">
        <f t="shared" si="29"/>
        <v>0</v>
      </c>
      <c r="J219" s="165">
        <f t="shared" si="30"/>
        <v>100</v>
      </c>
    </row>
    <row r="220" spans="1:10" s="11" customFormat="1" ht="22.5">
      <c r="A220" s="85" t="s">
        <v>558</v>
      </c>
      <c r="B220" s="83" t="s">
        <v>250</v>
      </c>
      <c r="C220" s="84" t="s">
        <v>65</v>
      </c>
      <c r="D220" s="84" t="s">
        <v>65</v>
      </c>
      <c r="E220" s="86" t="s">
        <v>89</v>
      </c>
      <c r="F220" s="81"/>
      <c r="G220" s="166">
        <f t="shared" si="32"/>
        <v>95</v>
      </c>
      <c r="H220" s="166">
        <f t="shared" si="32"/>
        <v>95</v>
      </c>
      <c r="I220" s="166">
        <f t="shared" si="29"/>
        <v>0</v>
      </c>
      <c r="J220" s="165">
        <f t="shared" si="30"/>
        <v>100</v>
      </c>
    </row>
    <row r="221" spans="1:10" s="11" customFormat="1" ht="22.5">
      <c r="A221" s="82" t="s">
        <v>132</v>
      </c>
      <c r="B221" s="83" t="s">
        <v>250</v>
      </c>
      <c r="C221" s="84" t="s">
        <v>65</v>
      </c>
      <c r="D221" s="84" t="s">
        <v>65</v>
      </c>
      <c r="E221" s="86" t="s">
        <v>89</v>
      </c>
      <c r="F221" s="81">
        <v>726</v>
      </c>
      <c r="G221" s="166">
        <v>95</v>
      </c>
      <c r="H221" s="166">
        <v>95</v>
      </c>
      <c r="I221" s="166">
        <f t="shared" si="29"/>
        <v>0</v>
      </c>
      <c r="J221" s="165">
        <f t="shared" si="30"/>
        <v>100</v>
      </c>
    </row>
    <row r="222" spans="1:10" s="11" customFormat="1" ht="21" customHeight="1">
      <c r="A222" s="79" t="s">
        <v>160</v>
      </c>
      <c r="B222" s="77" t="s">
        <v>251</v>
      </c>
      <c r="C222" s="80"/>
      <c r="D222" s="80"/>
      <c r="E222" s="88"/>
      <c r="F222" s="76"/>
      <c r="G222" s="163">
        <f t="shared" ref="G222:H226" si="33">G223</f>
        <v>100</v>
      </c>
      <c r="H222" s="163">
        <f t="shared" si="33"/>
        <v>100</v>
      </c>
      <c r="I222" s="163">
        <f t="shared" si="29"/>
        <v>0</v>
      </c>
      <c r="J222" s="164">
        <f t="shared" si="30"/>
        <v>100</v>
      </c>
    </row>
    <row r="223" spans="1:10" s="11" customFormat="1" ht="21">
      <c r="A223" s="79" t="s">
        <v>7</v>
      </c>
      <c r="B223" s="77" t="s">
        <v>251</v>
      </c>
      <c r="C223" s="80" t="s">
        <v>65</v>
      </c>
      <c r="D223" s="80" t="s">
        <v>33</v>
      </c>
      <c r="E223" s="86"/>
      <c r="F223" s="81"/>
      <c r="G223" s="163">
        <f t="shared" si="33"/>
        <v>100</v>
      </c>
      <c r="H223" s="163">
        <f t="shared" si="33"/>
        <v>100</v>
      </c>
      <c r="I223" s="163">
        <f t="shared" si="29"/>
        <v>0</v>
      </c>
      <c r="J223" s="164">
        <f t="shared" si="30"/>
        <v>100</v>
      </c>
    </row>
    <row r="224" spans="1:10" s="11" customFormat="1" ht="22.5">
      <c r="A224" s="82" t="s">
        <v>334</v>
      </c>
      <c r="B224" s="83" t="s">
        <v>251</v>
      </c>
      <c r="C224" s="84" t="s">
        <v>65</v>
      </c>
      <c r="D224" s="84" t="s">
        <v>65</v>
      </c>
      <c r="E224" s="86"/>
      <c r="F224" s="81"/>
      <c r="G224" s="166">
        <f t="shared" si="33"/>
        <v>100</v>
      </c>
      <c r="H224" s="166">
        <f t="shared" si="33"/>
        <v>100</v>
      </c>
      <c r="I224" s="166">
        <f t="shared" si="29"/>
        <v>0</v>
      </c>
      <c r="J224" s="165">
        <f t="shared" si="30"/>
        <v>100</v>
      </c>
    </row>
    <row r="225" spans="1:10" s="11" customFormat="1" ht="45">
      <c r="A225" s="82" t="s">
        <v>90</v>
      </c>
      <c r="B225" s="83" t="s">
        <v>251</v>
      </c>
      <c r="C225" s="86" t="s">
        <v>65</v>
      </c>
      <c r="D225" s="86" t="s">
        <v>65</v>
      </c>
      <c r="E225" s="86" t="s">
        <v>91</v>
      </c>
      <c r="F225" s="81"/>
      <c r="G225" s="166">
        <f t="shared" si="33"/>
        <v>100</v>
      </c>
      <c r="H225" s="166">
        <f t="shared" si="33"/>
        <v>100</v>
      </c>
      <c r="I225" s="166">
        <f t="shared" si="29"/>
        <v>0</v>
      </c>
      <c r="J225" s="165">
        <f t="shared" si="30"/>
        <v>100</v>
      </c>
    </row>
    <row r="226" spans="1:10" s="11" customFormat="1" ht="22.5">
      <c r="A226" s="85" t="s">
        <v>206</v>
      </c>
      <c r="B226" s="83" t="s">
        <v>251</v>
      </c>
      <c r="C226" s="86" t="s">
        <v>65</v>
      </c>
      <c r="D226" s="86" t="s">
        <v>65</v>
      </c>
      <c r="E226" s="86" t="s">
        <v>207</v>
      </c>
      <c r="F226" s="81"/>
      <c r="G226" s="166">
        <f t="shared" si="33"/>
        <v>100</v>
      </c>
      <c r="H226" s="166">
        <f t="shared" si="33"/>
        <v>100</v>
      </c>
      <c r="I226" s="166">
        <f t="shared" si="29"/>
        <v>0</v>
      </c>
      <c r="J226" s="165">
        <f t="shared" si="30"/>
        <v>100</v>
      </c>
    </row>
    <row r="227" spans="1:10" s="11" customFormat="1" ht="22.5" customHeight="1">
      <c r="A227" s="82" t="s">
        <v>132</v>
      </c>
      <c r="B227" s="83" t="s">
        <v>251</v>
      </c>
      <c r="C227" s="86" t="s">
        <v>65</v>
      </c>
      <c r="D227" s="86" t="s">
        <v>65</v>
      </c>
      <c r="E227" s="86" t="s">
        <v>207</v>
      </c>
      <c r="F227" s="81">
        <v>726</v>
      </c>
      <c r="G227" s="166">
        <v>100</v>
      </c>
      <c r="H227" s="166">
        <f>40+60</f>
        <v>100</v>
      </c>
      <c r="I227" s="166">
        <f t="shared" si="29"/>
        <v>0</v>
      </c>
      <c r="J227" s="165">
        <f t="shared" si="30"/>
        <v>100</v>
      </c>
    </row>
    <row r="228" spans="1:10" s="11" customFormat="1" ht="21">
      <c r="A228" s="79" t="s">
        <v>161</v>
      </c>
      <c r="B228" s="77" t="s">
        <v>252</v>
      </c>
      <c r="C228" s="80"/>
      <c r="D228" s="80"/>
      <c r="E228" s="88"/>
      <c r="F228" s="76"/>
      <c r="G228" s="163">
        <f t="shared" ref="G228:H232" si="34">G229</f>
        <v>35</v>
      </c>
      <c r="H228" s="163">
        <f t="shared" si="34"/>
        <v>35</v>
      </c>
      <c r="I228" s="163">
        <f t="shared" si="29"/>
        <v>0</v>
      </c>
      <c r="J228" s="164">
        <f t="shared" si="30"/>
        <v>100</v>
      </c>
    </row>
    <row r="229" spans="1:10" s="11" customFormat="1" ht="21">
      <c r="A229" s="79" t="s">
        <v>7</v>
      </c>
      <c r="B229" s="77" t="s">
        <v>252</v>
      </c>
      <c r="C229" s="80" t="s">
        <v>65</v>
      </c>
      <c r="D229" s="80" t="s">
        <v>33</v>
      </c>
      <c r="E229" s="86"/>
      <c r="F229" s="81"/>
      <c r="G229" s="163">
        <f t="shared" si="34"/>
        <v>35</v>
      </c>
      <c r="H229" s="163">
        <f t="shared" si="34"/>
        <v>35</v>
      </c>
      <c r="I229" s="163">
        <f t="shared" si="29"/>
        <v>0</v>
      </c>
      <c r="J229" s="164">
        <f t="shared" si="30"/>
        <v>100</v>
      </c>
    </row>
    <row r="230" spans="1:10" s="11" customFormat="1" ht="22.5">
      <c r="A230" s="82" t="s">
        <v>334</v>
      </c>
      <c r="B230" s="83" t="s">
        <v>252</v>
      </c>
      <c r="C230" s="84" t="s">
        <v>65</v>
      </c>
      <c r="D230" s="84" t="s">
        <v>65</v>
      </c>
      <c r="E230" s="86"/>
      <c r="F230" s="81"/>
      <c r="G230" s="166">
        <f t="shared" si="34"/>
        <v>35</v>
      </c>
      <c r="H230" s="166">
        <f t="shared" si="34"/>
        <v>35</v>
      </c>
      <c r="I230" s="166">
        <f t="shared" si="29"/>
        <v>0</v>
      </c>
      <c r="J230" s="165">
        <f t="shared" si="30"/>
        <v>100</v>
      </c>
    </row>
    <row r="231" spans="1:10" s="11" customFormat="1" ht="23.25" customHeight="1">
      <c r="A231" s="85" t="s">
        <v>331</v>
      </c>
      <c r="B231" s="83" t="s">
        <v>252</v>
      </c>
      <c r="C231" s="84" t="s">
        <v>65</v>
      </c>
      <c r="D231" s="84" t="s">
        <v>65</v>
      </c>
      <c r="E231" s="86" t="s">
        <v>92</v>
      </c>
      <c r="F231" s="81"/>
      <c r="G231" s="166">
        <f t="shared" si="34"/>
        <v>35</v>
      </c>
      <c r="H231" s="166">
        <f t="shared" si="34"/>
        <v>35</v>
      </c>
      <c r="I231" s="166">
        <f t="shared" si="29"/>
        <v>0</v>
      </c>
      <c r="J231" s="165">
        <f t="shared" si="30"/>
        <v>100</v>
      </c>
    </row>
    <row r="232" spans="1:10" s="11" customFormat="1" ht="25.5" customHeight="1">
      <c r="A232" s="85" t="s">
        <v>558</v>
      </c>
      <c r="B232" s="83" t="s">
        <v>252</v>
      </c>
      <c r="C232" s="84" t="s">
        <v>65</v>
      </c>
      <c r="D232" s="84" t="s">
        <v>65</v>
      </c>
      <c r="E232" s="86" t="s">
        <v>89</v>
      </c>
      <c r="F232" s="81"/>
      <c r="G232" s="166">
        <f t="shared" si="34"/>
        <v>35</v>
      </c>
      <c r="H232" s="166">
        <f t="shared" si="34"/>
        <v>35</v>
      </c>
      <c r="I232" s="166">
        <f t="shared" si="29"/>
        <v>0</v>
      </c>
      <c r="J232" s="165">
        <f t="shared" si="30"/>
        <v>100</v>
      </c>
    </row>
    <row r="233" spans="1:10" s="11" customFormat="1" ht="22.5">
      <c r="A233" s="82" t="s">
        <v>132</v>
      </c>
      <c r="B233" s="83" t="s">
        <v>252</v>
      </c>
      <c r="C233" s="84" t="s">
        <v>65</v>
      </c>
      <c r="D233" s="84" t="s">
        <v>65</v>
      </c>
      <c r="E233" s="86" t="s">
        <v>89</v>
      </c>
      <c r="F233" s="81">
        <v>726</v>
      </c>
      <c r="G233" s="166">
        <v>35</v>
      </c>
      <c r="H233" s="166">
        <v>35</v>
      </c>
      <c r="I233" s="166">
        <f t="shared" si="29"/>
        <v>0</v>
      </c>
      <c r="J233" s="165">
        <f t="shared" si="30"/>
        <v>100</v>
      </c>
    </row>
    <row r="234" spans="1:10" s="11" customFormat="1" ht="21.75">
      <c r="A234" s="79" t="s">
        <v>162</v>
      </c>
      <c r="B234" s="77" t="s">
        <v>253</v>
      </c>
      <c r="C234" s="80"/>
      <c r="D234" s="80"/>
      <c r="E234" s="88"/>
      <c r="F234" s="76"/>
      <c r="G234" s="163">
        <f t="shared" ref="G234:H238" si="35">G235</f>
        <v>20</v>
      </c>
      <c r="H234" s="163">
        <f t="shared" si="35"/>
        <v>20</v>
      </c>
      <c r="I234" s="163">
        <f t="shared" si="29"/>
        <v>0</v>
      </c>
      <c r="J234" s="164">
        <f t="shared" si="30"/>
        <v>100</v>
      </c>
    </row>
    <row r="235" spans="1:10" s="11" customFormat="1" ht="21">
      <c r="A235" s="79" t="s">
        <v>7</v>
      </c>
      <c r="B235" s="77" t="s">
        <v>253</v>
      </c>
      <c r="C235" s="80" t="s">
        <v>65</v>
      </c>
      <c r="D235" s="80" t="s">
        <v>33</v>
      </c>
      <c r="E235" s="86"/>
      <c r="F235" s="81"/>
      <c r="G235" s="163">
        <f t="shared" si="35"/>
        <v>20</v>
      </c>
      <c r="H235" s="163">
        <f t="shared" si="35"/>
        <v>20</v>
      </c>
      <c r="I235" s="163">
        <f t="shared" si="29"/>
        <v>0</v>
      </c>
      <c r="J235" s="164">
        <f t="shared" si="30"/>
        <v>100</v>
      </c>
    </row>
    <row r="236" spans="1:10" s="11" customFormat="1" ht="22.5">
      <c r="A236" s="82" t="s">
        <v>334</v>
      </c>
      <c r="B236" s="83" t="s">
        <v>253</v>
      </c>
      <c r="C236" s="84" t="s">
        <v>65</v>
      </c>
      <c r="D236" s="84" t="s">
        <v>65</v>
      </c>
      <c r="E236" s="86"/>
      <c r="F236" s="81"/>
      <c r="G236" s="166">
        <f t="shared" si="35"/>
        <v>20</v>
      </c>
      <c r="H236" s="166">
        <f t="shared" si="35"/>
        <v>20</v>
      </c>
      <c r="I236" s="166">
        <f t="shared" si="29"/>
        <v>0</v>
      </c>
      <c r="J236" s="165">
        <f t="shared" si="30"/>
        <v>100</v>
      </c>
    </row>
    <row r="237" spans="1:10" s="11" customFormat="1" ht="22.5" customHeight="1">
      <c r="A237" s="85" t="s">
        <v>331</v>
      </c>
      <c r="B237" s="83" t="s">
        <v>253</v>
      </c>
      <c r="C237" s="84" t="s">
        <v>65</v>
      </c>
      <c r="D237" s="84" t="s">
        <v>65</v>
      </c>
      <c r="E237" s="86" t="s">
        <v>92</v>
      </c>
      <c r="F237" s="81"/>
      <c r="G237" s="166">
        <f t="shared" si="35"/>
        <v>20</v>
      </c>
      <c r="H237" s="166">
        <f t="shared" si="35"/>
        <v>20</v>
      </c>
      <c r="I237" s="166">
        <f t="shared" si="29"/>
        <v>0</v>
      </c>
      <c r="J237" s="165">
        <f t="shared" si="30"/>
        <v>100</v>
      </c>
    </row>
    <row r="238" spans="1:10" s="11" customFormat="1" ht="22.5">
      <c r="A238" s="85" t="s">
        <v>558</v>
      </c>
      <c r="B238" s="83" t="s">
        <v>253</v>
      </c>
      <c r="C238" s="84" t="s">
        <v>65</v>
      </c>
      <c r="D238" s="84" t="s">
        <v>65</v>
      </c>
      <c r="E238" s="86" t="s">
        <v>89</v>
      </c>
      <c r="F238" s="81"/>
      <c r="G238" s="166">
        <f t="shared" si="35"/>
        <v>20</v>
      </c>
      <c r="H238" s="166">
        <f t="shared" si="35"/>
        <v>20</v>
      </c>
      <c r="I238" s="166">
        <f t="shared" si="29"/>
        <v>0</v>
      </c>
      <c r="J238" s="165">
        <f t="shared" si="30"/>
        <v>100</v>
      </c>
    </row>
    <row r="239" spans="1:10" s="11" customFormat="1" ht="22.5">
      <c r="A239" s="82" t="s">
        <v>132</v>
      </c>
      <c r="B239" s="83" t="s">
        <v>253</v>
      </c>
      <c r="C239" s="84" t="s">
        <v>65</v>
      </c>
      <c r="D239" s="84" t="s">
        <v>65</v>
      </c>
      <c r="E239" s="86" t="s">
        <v>89</v>
      </c>
      <c r="F239" s="81">
        <v>726</v>
      </c>
      <c r="G239" s="166">
        <v>20</v>
      </c>
      <c r="H239" s="166">
        <v>20</v>
      </c>
      <c r="I239" s="166">
        <f t="shared" si="29"/>
        <v>0</v>
      </c>
      <c r="J239" s="165">
        <f t="shared" si="30"/>
        <v>100</v>
      </c>
    </row>
    <row r="240" spans="1:10" s="11" customFormat="1" ht="32.25">
      <c r="A240" s="89" t="s">
        <v>672</v>
      </c>
      <c r="B240" s="77" t="s">
        <v>141</v>
      </c>
      <c r="C240" s="84"/>
      <c r="D240" s="84"/>
      <c r="E240" s="86"/>
      <c r="F240" s="81"/>
      <c r="G240" s="163">
        <f>G241</f>
        <v>373.6</v>
      </c>
      <c r="H240" s="163">
        <f>H241</f>
        <v>329.5</v>
      </c>
      <c r="I240" s="163">
        <f t="shared" si="29"/>
        <v>44.100000000000023</v>
      </c>
      <c r="J240" s="164">
        <f t="shared" si="30"/>
        <v>88.195931477516055</v>
      </c>
    </row>
    <row r="241" spans="1:10" s="11" customFormat="1" ht="27.6" customHeight="1">
      <c r="A241" s="89" t="s">
        <v>655</v>
      </c>
      <c r="B241" s="77" t="s">
        <v>231</v>
      </c>
      <c r="C241" s="84"/>
      <c r="D241" s="84"/>
      <c r="E241" s="86"/>
      <c r="F241" s="81"/>
      <c r="G241" s="163">
        <f>G248+G242</f>
        <v>373.6</v>
      </c>
      <c r="H241" s="163">
        <f>H248+H242</f>
        <v>329.5</v>
      </c>
      <c r="I241" s="163">
        <f t="shared" si="29"/>
        <v>44.100000000000023</v>
      </c>
      <c r="J241" s="164">
        <f t="shared" si="30"/>
        <v>88.195931477516055</v>
      </c>
    </row>
    <row r="242" spans="1:10" s="11" customFormat="1" ht="21.75">
      <c r="A242" s="79" t="s">
        <v>563</v>
      </c>
      <c r="B242" s="77" t="s">
        <v>564</v>
      </c>
      <c r="C242" s="80"/>
      <c r="D242" s="80"/>
      <c r="E242" s="88"/>
      <c r="F242" s="76"/>
      <c r="G242" s="164">
        <f t="shared" ref="G242:H246" si="36">G243</f>
        <v>306</v>
      </c>
      <c r="H242" s="164">
        <f t="shared" si="36"/>
        <v>261.89999999999998</v>
      </c>
      <c r="I242" s="163">
        <f t="shared" si="29"/>
        <v>44.100000000000023</v>
      </c>
      <c r="J242" s="164">
        <f t="shared" si="30"/>
        <v>85.588235294117638</v>
      </c>
    </row>
    <row r="243" spans="1:10" s="11" customFormat="1" ht="22.5">
      <c r="A243" s="79" t="s">
        <v>5</v>
      </c>
      <c r="B243" s="83" t="s">
        <v>564</v>
      </c>
      <c r="C243" s="80" t="s">
        <v>64</v>
      </c>
      <c r="D243" s="80" t="s">
        <v>33</v>
      </c>
      <c r="E243" s="88"/>
      <c r="F243" s="76"/>
      <c r="G243" s="164">
        <f t="shared" si="36"/>
        <v>306</v>
      </c>
      <c r="H243" s="164">
        <f t="shared" si="36"/>
        <v>261.89999999999998</v>
      </c>
      <c r="I243" s="163">
        <f t="shared" si="29"/>
        <v>44.100000000000023</v>
      </c>
      <c r="J243" s="164">
        <f t="shared" si="30"/>
        <v>85.588235294117638</v>
      </c>
    </row>
    <row r="244" spans="1:10" s="11" customFormat="1" ht="22.5">
      <c r="A244" s="85" t="s">
        <v>6</v>
      </c>
      <c r="B244" s="83" t="s">
        <v>564</v>
      </c>
      <c r="C244" s="84" t="s">
        <v>64</v>
      </c>
      <c r="D244" s="84" t="s">
        <v>74</v>
      </c>
      <c r="E244" s="86"/>
      <c r="F244" s="81"/>
      <c r="G244" s="165">
        <f t="shared" si="36"/>
        <v>306</v>
      </c>
      <c r="H244" s="165">
        <f t="shared" si="36"/>
        <v>261.89999999999998</v>
      </c>
      <c r="I244" s="166">
        <f t="shared" si="29"/>
        <v>44.100000000000023</v>
      </c>
      <c r="J244" s="165">
        <f t="shared" si="30"/>
        <v>85.588235294117638</v>
      </c>
    </row>
    <row r="245" spans="1:10" s="11" customFormat="1" ht="22.5">
      <c r="A245" s="85" t="s">
        <v>331</v>
      </c>
      <c r="B245" s="83" t="s">
        <v>564</v>
      </c>
      <c r="C245" s="84" t="s">
        <v>64</v>
      </c>
      <c r="D245" s="84" t="s">
        <v>74</v>
      </c>
      <c r="E245" s="86" t="s">
        <v>92</v>
      </c>
      <c r="F245" s="81"/>
      <c r="G245" s="165">
        <f t="shared" si="36"/>
        <v>306</v>
      </c>
      <c r="H245" s="165">
        <f t="shared" si="36"/>
        <v>261.89999999999998</v>
      </c>
      <c r="I245" s="166">
        <f t="shared" si="29"/>
        <v>44.100000000000023</v>
      </c>
      <c r="J245" s="165">
        <f t="shared" si="30"/>
        <v>85.588235294117638</v>
      </c>
    </row>
    <row r="246" spans="1:10" s="11" customFormat="1" ht="22.5">
      <c r="A246" s="85" t="s">
        <v>562</v>
      </c>
      <c r="B246" s="83" t="s">
        <v>564</v>
      </c>
      <c r="C246" s="84" t="s">
        <v>64</v>
      </c>
      <c r="D246" s="84" t="s">
        <v>74</v>
      </c>
      <c r="E246" s="86" t="s">
        <v>89</v>
      </c>
      <c r="F246" s="81"/>
      <c r="G246" s="165">
        <f t="shared" si="36"/>
        <v>306</v>
      </c>
      <c r="H246" s="165">
        <f t="shared" si="36"/>
        <v>261.89999999999998</v>
      </c>
      <c r="I246" s="166">
        <f t="shared" si="29"/>
        <v>44.100000000000023</v>
      </c>
      <c r="J246" s="165">
        <f t="shared" si="30"/>
        <v>85.588235294117638</v>
      </c>
    </row>
    <row r="247" spans="1:10" s="11" customFormat="1" ht="22.5">
      <c r="A247" s="82" t="s">
        <v>128</v>
      </c>
      <c r="B247" s="83" t="s">
        <v>564</v>
      </c>
      <c r="C247" s="84" t="s">
        <v>64</v>
      </c>
      <c r="D247" s="84" t="s">
        <v>74</v>
      </c>
      <c r="E247" s="86" t="s">
        <v>89</v>
      </c>
      <c r="F247" s="81">
        <v>721</v>
      </c>
      <c r="G247" s="165">
        <f>436-130</f>
        <v>306</v>
      </c>
      <c r="H247" s="165">
        <v>261.89999999999998</v>
      </c>
      <c r="I247" s="166">
        <f t="shared" si="29"/>
        <v>44.100000000000023</v>
      </c>
      <c r="J247" s="165">
        <f t="shared" si="30"/>
        <v>85.588235294117638</v>
      </c>
    </row>
    <row r="248" spans="1:10" s="58" customFormat="1" ht="32.25">
      <c r="A248" s="79" t="s">
        <v>368</v>
      </c>
      <c r="B248" s="77" t="s">
        <v>287</v>
      </c>
      <c r="C248" s="80"/>
      <c r="D248" s="80"/>
      <c r="E248" s="88"/>
      <c r="F248" s="76"/>
      <c r="G248" s="163">
        <f t="shared" ref="G248:H254" si="37">G249</f>
        <v>67.599999999999994</v>
      </c>
      <c r="H248" s="163">
        <f t="shared" si="37"/>
        <v>67.599999999999994</v>
      </c>
      <c r="I248" s="163">
        <f t="shared" si="29"/>
        <v>0</v>
      </c>
      <c r="J248" s="164">
        <f t="shared" si="30"/>
        <v>100</v>
      </c>
    </row>
    <row r="249" spans="1:10" s="58" customFormat="1" ht="21">
      <c r="A249" s="79" t="s">
        <v>5</v>
      </c>
      <c r="B249" s="77" t="s">
        <v>287</v>
      </c>
      <c r="C249" s="80" t="s">
        <v>64</v>
      </c>
      <c r="D249" s="80" t="s">
        <v>33</v>
      </c>
      <c r="E249" s="88"/>
      <c r="F249" s="76"/>
      <c r="G249" s="163">
        <f t="shared" si="37"/>
        <v>67.599999999999994</v>
      </c>
      <c r="H249" s="163">
        <f t="shared" si="37"/>
        <v>67.599999999999994</v>
      </c>
      <c r="I249" s="163">
        <f t="shared" si="29"/>
        <v>0</v>
      </c>
      <c r="J249" s="164">
        <f t="shared" si="30"/>
        <v>100</v>
      </c>
    </row>
    <row r="250" spans="1:10" s="11" customFormat="1">
      <c r="A250" s="85" t="s">
        <v>6</v>
      </c>
      <c r="B250" s="83" t="s">
        <v>287</v>
      </c>
      <c r="C250" s="84" t="s">
        <v>64</v>
      </c>
      <c r="D250" s="84" t="s">
        <v>74</v>
      </c>
      <c r="E250" s="86"/>
      <c r="F250" s="81"/>
      <c r="G250" s="166">
        <f>G251+G254</f>
        <v>67.599999999999994</v>
      </c>
      <c r="H250" s="166">
        <f>H251+H254</f>
        <v>67.599999999999994</v>
      </c>
      <c r="I250" s="166">
        <f t="shared" si="29"/>
        <v>0</v>
      </c>
      <c r="J250" s="165">
        <f t="shared" si="30"/>
        <v>100</v>
      </c>
    </row>
    <row r="251" spans="1:10" s="11" customFormat="1" ht="45">
      <c r="A251" s="85" t="s">
        <v>90</v>
      </c>
      <c r="B251" s="83" t="s">
        <v>287</v>
      </c>
      <c r="C251" s="84" t="s">
        <v>64</v>
      </c>
      <c r="D251" s="84" t="s">
        <v>74</v>
      </c>
      <c r="E251" s="86" t="s">
        <v>91</v>
      </c>
      <c r="F251" s="81"/>
      <c r="G251" s="166">
        <f>G252</f>
        <v>15</v>
      </c>
      <c r="H251" s="166">
        <f>H252</f>
        <v>15</v>
      </c>
      <c r="I251" s="166">
        <f t="shared" si="29"/>
        <v>0</v>
      </c>
      <c r="J251" s="165">
        <f t="shared" si="30"/>
        <v>100</v>
      </c>
    </row>
    <row r="252" spans="1:10" s="11" customFormat="1" ht="22.5">
      <c r="A252" s="85" t="s">
        <v>87</v>
      </c>
      <c r="B252" s="83" t="s">
        <v>287</v>
      </c>
      <c r="C252" s="84" t="s">
        <v>64</v>
      </c>
      <c r="D252" s="84" t="s">
        <v>74</v>
      </c>
      <c r="E252" s="86" t="s">
        <v>88</v>
      </c>
      <c r="F252" s="81"/>
      <c r="G252" s="166">
        <f>G253</f>
        <v>15</v>
      </c>
      <c r="H252" s="166">
        <f>H253</f>
        <v>15</v>
      </c>
      <c r="I252" s="166">
        <f t="shared" si="29"/>
        <v>0</v>
      </c>
      <c r="J252" s="165">
        <f t="shared" si="30"/>
        <v>100</v>
      </c>
    </row>
    <row r="253" spans="1:10" s="11" customFormat="1">
      <c r="A253" s="82" t="s">
        <v>128</v>
      </c>
      <c r="B253" s="83" t="s">
        <v>287</v>
      </c>
      <c r="C253" s="84" t="s">
        <v>64</v>
      </c>
      <c r="D253" s="84" t="s">
        <v>74</v>
      </c>
      <c r="E253" s="86" t="s">
        <v>88</v>
      </c>
      <c r="F253" s="81">
        <v>721</v>
      </c>
      <c r="G253" s="166">
        <f>92-77</f>
        <v>15</v>
      </c>
      <c r="H253" s="166">
        <v>15</v>
      </c>
      <c r="I253" s="166">
        <f t="shared" si="29"/>
        <v>0</v>
      </c>
      <c r="J253" s="165">
        <f t="shared" si="30"/>
        <v>100</v>
      </c>
    </row>
    <row r="254" spans="1:10" s="11" customFormat="1" ht="22.5">
      <c r="A254" s="85" t="s">
        <v>331</v>
      </c>
      <c r="B254" s="83" t="s">
        <v>287</v>
      </c>
      <c r="C254" s="84" t="s">
        <v>64</v>
      </c>
      <c r="D254" s="84" t="s">
        <v>74</v>
      </c>
      <c r="E254" s="84" t="s">
        <v>92</v>
      </c>
      <c r="F254" s="81"/>
      <c r="G254" s="166">
        <f t="shared" si="37"/>
        <v>52.6</v>
      </c>
      <c r="H254" s="166">
        <f t="shared" si="37"/>
        <v>52.6</v>
      </c>
      <c r="I254" s="166">
        <f t="shared" si="29"/>
        <v>0</v>
      </c>
      <c r="J254" s="165">
        <f t="shared" si="30"/>
        <v>100</v>
      </c>
    </row>
    <row r="255" spans="1:10" s="11" customFormat="1" ht="23.25" customHeight="1">
      <c r="A255" s="85" t="s">
        <v>558</v>
      </c>
      <c r="B255" s="83" t="s">
        <v>287</v>
      </c>
      <c r="C255" s="84" t="s">
        <v>64</v>
      </c>
      <c r="D255" s="84" t="s">
        <v>74</v>
      </c>
      <c r="E255" s="84" t="s">
        <v>89</v>
      </c>
      <c r="F255" s="81"/>
      <c r="G255" s="166">
        <f>G256</f>
        <v>52.6</v>
      </c>
      <c r="H255" s="166">
        <f>H256</f>
        <v>52.6</v>
      </c>
      <c r="I255" s="166">
        <f t="shared" si="29"/>
        <v>0</v>
      </c>
      <c r="J255" s="165">
        <f t="shared" si="30"/>
        <v>100</v>
      </c>
    </row>
    <row r="256" spans="1:10" s="11" customFormat="1">
      <c r="A256" s="82" t="s">
        <v>128</v>
      </c>
      <c r="B256" s="83" t="s">
        <v>287</v>
      </c>
      <c r="C256" s="84" t="s">
        <v>64</v>
      </c>
      <c r="D256" s="84" t="s">
        <v>74</v>
      </c>
      <c r="E256" s="84" t="s">
        <v>89</v>
      </c>
      <c r="F256" s="81">
        <v>721</v>
      </c>
      <c r="G256" s="166">
        <f>4+16+32.6</f>
        <v>52.6</v>
      </c>
      <c r="H256" s="166">
        <v>52.6</v>
      </c>
      <c r="I256" s="166">
        <f t="shared" si="29"/>
        <v>0</v>
      </c>
      <c r="J256" s="165">
        <f t="shared" si="30"/>
        <v>100</v>
      </c>
    </row>
    <row r="257" spans="1:12" s="11" customFormat="1" ht="21.75">
      <c r="A257" s="79" t="s">
        <v>673</v>
      </c>
      <c r="B257" s="77" t="s">
        <v>146</v>
      </c>
      <c r="C257" s="84"/>
      <c r="D257" s="84"/>
      <c r="E257" s="86"/>
      <c r="F257" s="81"/>
      <c r="G257" s="163">
        <f>G258</f>
        <v>3151.4999999999995</v>
      </c>
      <c r="H257" s="163">
        <f>H258</f>
        <v>3010.3999999999996</v>
      </c>
      <c r="I257" s="163">
        <f t="shared" si="29"/>
        <v>141.09999999999991</v>
      </c>
      <c r="J257" s="164">
        <f t="shared" si="30"/>
        <v>95.522766936379497</v>
      </c>
      <c r="K257" s="68"/>
      <c r="L257" s="68"/>
    </row>
    <row r="258" spans="1:12" s="11" customFormat="1" ht="31.5" customHeight="1">
      <c r="A258" s="79" t="s">
        <v>184</v>
      </c>
      <c r="B258" s="77" t="s">
        <v>233</v>
      </c>
      <c r="C258" s="84"/>
      <c r="D258" s="84"/>
      <c r="E258" s="86"/>
      <c r="F258" s="81"/>
      <c r="G258" s="163">
        <f>G259+G284+G299+G319+G338+G362+G372+G378</f>
        <v>3151.4999999999995</v>
      </c>
      <c r="H258" s="163">
        <f>H259+H284+H299+H319+H338+H362+H372+H378</f>
        <v>3010.3999999999996</v>
      </c>
      <c r="I258" s="163">
        <f t="shared" si="29"/>
        <v>141.09999999999991</v>
      </c>
      <c r="J258" s="164">
        <f t="shared" si="30"/>
        <v>95.522766936379497</v>
      </c>
      <c r="K258" s="68"/>
      <c r="L258" s="68"/>
    </row>
    <row r="259" spans="1:12" s="11" customFormat="1" ht="42.75">
      <c r="A259" s="79" t="s">
        <v>369</v>
      </c>
      <c r="B259" s="77" t="s">
        <v>234</v>
      </c>
      <c r="C259" s="84"/>
      <c r="D259" s="84"/>
      <c r="E259" s="86"/>
      <c r="F259" s="81"/>
      <c r="G259" s="163">
        <f>G260+G274+G279</f>
        <v>2012.6999999999998</v>
      </c>
      <c r="H259" s="163">
        <f>H260+H274+H279</f>
        <v>1927.5000000000002</v>
      </c>
      <c r="I259" s="163">
        <f t="shared" si="29"/>
        <v>85.199999999999591</v>
      </c>
      <c r="J259" s="164">
        <f t="shared" si="30"/>
        <v>95.766880310031326</v>
      </c>
      <c r="K259" s="68"/>
      <c r="L259" s="68"/>
    </row>
    <row r="260" spans="1:12" s="11" customFormat="1" ht="21">
      <c r="A260" s="79" t="s">
        <v>7</v>
      </c>
      <c r="B260" s="77" t="s">
        <v>234</v>
      </c>
      <c r="C260" s="80" t="s">
        <v>65</v>
      </c>
      <c r="D260" s="80" t="s">
        <v>33</v>
      </c>
      <c r="E260" s="86"/>
      <c r="F260" s="81"/>
      <c r="G260" s="163">
        <f>G261+G265+G269</f>
        <v>1537.6999999999998</v>
      </c>
      <c r="H260" s="163">
        <f>H261+H265+H269</f>
        <v>1522.3000000000002</v>
      </c>
      <c r="I260" s="163">
        <f t="shared" si="29"/>
        <v>15.399999999999636</v>
      </c>
      <c r="J260" s="164">
        <f t="shared" si="30"/>
        <v>98.998504259608538</v>
      </c>
      <c r="K260" s="68"/>
      <c r="L260" s="68"/>
    </row>
    <row r="261" spans="1:12" s="11" customFormat="1" ht="22.5">
      <c r="A261" s="82" t="s">
        <v>8</v>
      </c>
      <c r="B261" s="83" t="s">
        <v>234</v>
      </c>
      <c r="C261" s="84" t="s">
        <v>65</v>
      </c>
      <c r="D261" s="84" t="s">
        <v>62</v>
      </c>
      <c r="E261" s="86"/>
      <c r="F261" s="81"/>
      <c r="G261" s="166">
        <f t="shared" ref="G261:H263" si="38">G262</f>
        <v>268.8</v>
      </c>
      <c r="H261" s="166">
        <f t="shared" si="38"/>
        <v>268.8</v>
      </c>
      <c r="I261" s="166">
        <f t="shared" si="29"/>
        <v>0</v>
      </c>
      <c r="J261" s="165">
        <f t="shared" si="30"/>
        <v>100</v>
      </c>
      <c r="K261" s="68"/>
      <c r="L261" s="68"/>
    </row>
    <row r="262" spans="1:12" s="11" customFormat="1" ht="22.5">
      <c r="A262" s="85" t="s">
        <v>93</v>
      </c>
      <c r="B262" s="83" t="s">
        <v>234</v>
      </c>
      <c r="C262" s="84" t="s">
        <v>65</v>
      </c>
      <c r="D262" s="84" t="s">
        <v>62</v>
      </c>
      <c r="E262" s="86" t="s">
        <v>94</v>
      </c>
      <c r="F262" s="81"/>
      <c r="G262" s="166">
        <f t="shared" si="38"/>
        <v>268.8</v>
      </c>
      <c r="H262" s="166">
        <f t="shared" si="38"/>
        <v>268.8</v>
      </c>
      <c r="I262" s="166">
        <f t="shared" si="29"/>
        <v>0</v>
      </c>
      <c r="J262" s="165">
        <f t="shared" si="30"/>
        <v>100</v>
      </c>
    </row>
    <row r="263" spans="1:12" s="11" customFormat="1" ht="22.5">
      <c r="A263" s="85" t="s">
        <v>97</v>
      </c>
      <c r="B263" s="83" t="s">
        <v>234</v>
      </c>
      <c r="C263" s="84" t="s">
        <v>65</v>
      </c>
      <c r="D263" s="84" t="s">
        <v>62</v>
      </c>
      <c r="E263" s="86" t="s">
        <v>98</v>
      </c>
      <c r="F263" s="81"/>
      <c r="G263" s="166">
        <f t="shared" si="38"/>
        <v>268.8</v>
      </c>
      <c r="H263" s="166">
        <f t="shared" si="38"/>
        <v>268.8</v>
      </c>
      <c r="I263" s="166">
        <f t="shared" si="29"/>
        <v>0</v>
      </c>
      <c r="J263" s="165">
        <f t="shared" si="30"/>
        <v>100</v>
      </c>
    </row>
    <row r="264" spans="1:12" s="11" customFormat="1" ht="12" customHeight="1">
      <c r="A264" s="82" t="s">
        <v>131</v>
      </c>
      <c r="B264" s="83" t="s">
        <v>234</v>
      </c>
      <c r="C264" s="84" t="s">
        <v>65</v>
      </c>
      <c r="D264" s="84" t="s">
        <v>62</v>
      </c>
      <c r="E264" s="86" t="s">
        <v>98</v>
      </c>
      <c r="F264" s="81">
        <v>725</v>
      </c>
      <c r="G264" s="166">
        <f>287.7-18.9</f>
        <v>268.8</v>
      </c>
      <c r="H264" s="166">
        <v>268.8</v>
      </c>
      <c r="I264" s="166">
        <f t="shared" si="29"/>
        <v>0</v>
      </c>
      <c r="J264" s="165">
        <f t="shared" si="30"/>
        <v>100</v>
      </c>
    </row>
    <row r="265" spans="1:12" s="11" customFormat="1" ht="22.5">
      <c r="A265" s="82" t="s">
        <v>349</v>
      </c>
      <c r="B265" s="83" t="s">
        <v>234</v>
      </c>
      <c r="C265" s="84" t="s">
        <v>65</v>
      </c>
      <c r="D265" s="84" t="s">
        <v>63</v>
      </c>
      <c r="E265" s="86"/>
      <c r="F265" s="81"/>
      <c r="G265" s="166">
        <f t="shared" ref="G265:H267" si="39">G266</f>
        <v>808.8</v>
      </c>
      <c r="H265" s="166">
        <f t="shared" si="39"/>
        <v>808.6</v>
      </c>
      <c r="I265" s="166">
        <f t="shared" ref="I265:I328" si="40">G265-H265</f>
        <v>0.19999999999993179</v>
      </c>
      <c r="J265" s="165">
        <f t="shared" ref="J265:J328" si="41">H265/G265*100</f>
        <v>99.975272007912963</v>
      </c>
    </row>
    <row r="266" spans="1:12" s="11" customFormat="1" ht="22.5">
      <c r="A266" s="85" t="s">
        <v>93</v>
      </c>
      <c r="B266" s="83" t="s">
        <v>234</v>
      </c>
      <c r="C266" s="84" t="s">
        <v>65</v>
      </c>
      <c r="D266" s="84" t="s">
        <v>63</v>
      </c>
      <c r="E266" s="86" t="s">
        <v>94</v>
      </c>
      <c r="F266" s="81"/>
      <c r="G266" s="166">
        <f t="shared" si="39"/>
        <v>808.8</v>
      </c>
      <c r="H266" s="166">
        <f t="shared" si="39"/>
        <v>808.6</v>
      </c>
      <c r="I266" s="166">
        <f t="shared" si="40"/>
        <v>0.19999999999993179</v>
      </c>
      <c r="J266" s="165">
        <f t="shared" si="41"/>
        <v>99.975272007912963</v>
      </c>
    </row>
    <row r="267" spans="1:12" s="11" customFormat="1" ht="22.5">
      <c r="A267" s="85" t="s">
        <v>97</v>
      </c>
      <c r="B267" s="83" t="s">
        <v>234</v>
      </c>
      <c r="C267" s="84" t="s">
        <v>65</v>
      </c>
      <c r="D267" s="84" t="s">
        <v>63</v>
      </c>
      <c r="E267" s="86" t="s">
        <v>98</v>
      </c>
      <c r="F267" s="81"/>
      <c r="G267" s="166">
        <f t="shared" si="39"/>
        <v>808.8</v>
      </c>
      <c r="H267" s="166">
        <f t="shared" si="39"/>
        <v>808.6</v>
      </c>
      <c r="I267" s="166">
        <f t="shared" si="40"/>
        <v>0.19999999999993179</v>
      </c>
      <c r="J267" s="165">
        <f t="shared" si="41"/>
        <v>99.975272007912963</v>
      </c>
    </row>
    <row r="268" spans="1:12" s="11" customFormat="1" ht="11.25" customHeight="1">
      <c r="A268" s="82" t="s">
        <v>131</v>
      </c>
      <c r="B268" s="83" t="s">
        <v>234</v>
      </c>
      <c r="C268" s="84" t="s">
        <v>65</v>
      </c>
      <c r="D268" s="84" t="s">
        <v>63</v>
      </c>
      <c r="E268" s="86" t="s">
        <v>98</v>
      </c>
      <c r="F268" s="81">
        <v>725</v>
      </c>
      <c r="G268" s="166">
        <f>862.5-53.7</f>
        <v>808.8</v>
      </c>
      <c r="H268" s="166">
        <v>808.6</v>
      </c>
      <c r="I268" s="166">
        <f t="shared" si="40"/>
        <v>0.19999999999993179</v>
      </c>
      <c r="J268" s="165">
        <f t="shared" si="41"/>
        <v>99.975272007912963</v>
      </c>
    </row>
    <row r="269" spans="1:12" s="11" customFormat="1" ht="22.5">
      <c r="A269" s="82" t="s">
        <v>302</v>
      </c>
      <c r="B269" s="83" t="s">
        <v>234</v>
      </c>
      <c r="C269" s="84" t="s">
        <v>65</v>
      </c>
      <c r="D269" s="84" t="s">
        <v>66</v>
      </c>
      <c r="E269" s="86"/>
      <c r="F269" s="81"/>
      <c r="G269" s="166">
        <f>G270</f>
        <v>460.1</v>
      </c>
      <c r="H269" s="166">
        <f>H270</f>
        <v>444.9</v>
      </c>
      <c r="I269" s="166">
        <f t="shared" si="40"/>
        <v>15.200000000000045</v>
      </c>
      <c r="J269" s="165">
        <f t="shared" si="41"/>
        <v>96.696370354270798</v>
      </c>
    </row>
    <row r="270" spans="1:12" s="11" customFormat="1" ht="22.5">
      <c r="A270" s="85" t="s">
        <v>93</v>
      </c>
      <c r="B270" s="83" t="s">
        <v>234</v>
      </c>
      <c r="C270" s="84" t="s">
        <v>65</v>
      </c>
      <c r="D270" s="84" t="s">
        <v>66</v>
      </c>
      <c r="E270" s="86" t="s">
        <v>94</v>
      </c>
      <c r="F270" s="81"/>
      <c r="G270" s="166">
        <f>G271</f>
        <v>460.1</v>
      </c>
      <c r="H270" s="166">
        <f>H271</f>
        <v>444.9</v>
      </c>
      <c r="I270" s="166">
        <f t="shared" si="40"/>
        <v>15.200000000000045</v>
      </c>
      <c r="J270" s="165">
        <f t="shared" si="41"/>
        <v>96.696370354270798</v>
      </c>
    </row>
    <row r="271" spans="1:12" s="11" customFormat="1" ht="22.5">
      <c r="A271" s="85" t="s">
        <v>97</v>
      </c>
      <c r="B271" s="83" t="s">
        <v>234</v>
      </c>
      <c r="C271" s="84" t="s">
        <v>65</v>
      </c>
      <c r="D271" s="84" t="s">
        <v>66</v>
      </c>
      <c r="E271" s="86" t="s">
        <v>98</v>
      </c>
      <c r="F271" s="81"/>
      <c r="G271" s="166">
        <f>G272+G273</f>
        <v>460.1</v>
      </c>
      <c r="H271" s="166">
        <f>H272+H273</f>
        <v>444.9</v>
      </c>
      <c r="I271" s="166">
        <f t="shared" si="40"/>
        <v>15.200000000000045</v>
      </c>
      <c r="J271" s="165">
        <f t="shared" si="41"/>
        <v>96.696370354270798</v>
      </c>
    </row>
    <row r="272" spans="1:12" s="11" customFormat="1" ht="10.5" customHeight="1">
      <c r="A272" s="82" t="s">
        <v>131</v>
      </c>
      <c r="B272" s="83" t="s">
        <v>234</v>
      </c>
      <c r="C272" s="84" t="s">
        <v>65</v>
      </c>
      <c r="D272" s="84" t="s">
        <v>66</v>
      </c>
      <c r="E272" s="86" t="s">
        <v>98</v>
      </c>
      <c r="F272" s="81">
        <v>725</v>
      </c>
      <c r="G272" s="166">
        <f>222.5-12.4</f>
        <v>210.1</v>
      </c>
      <c r="H272" s="166">
        <v>210</v>
      </c>
      <c r="I272" s="166">
        <f t="shared" si="40"/>
        <v>9.9999999999994316E-2</v>
      </c>
      <c r="J272" s="165">
        <f t="shared" si="41"/>
        <v>99.952403617325075</v>
      </c>
    </row>
    <row r="273" spans="1:10" s="11" customFormat="1" ht="22.5">
      <c r="A273" s="82" t="s">
        <v>132</v>
      </c>
      <c r="B273" s="83" t="s">
        <v>234</v>
      </c>
      <c r="C273" s="84" t="s">
        <v>65</v>
      </c>
      <c r="D273" s="84" t="s">
        <v>66</v>
      </c>
      <c r="E273" s="86" t="s">
        <v>98</v>
      </c>
      <c r="F273" s="81">
        <v>726</v>
      </c>
      <c r="G273" s="166">
        <v>250</v>
      </c>
      <c r="H273" s="166">
        <v>234.9</v>
      </c>
      <c r="I273" s="166">
        <f t="shared" si="40"/>
        <v>15.099999999999994</v>
      </c>
      <c r="J273" s="165">
        <f t="shared" si="41"/>
        <v>93.96</v>
      </c>
    </row>
    <row r="274" spans="1:10" s="11" customFormat="1" ht="21">
      <c r="A274" s="89" t="s">
        <v>120</v>
      </c>
      <c r="B274" s="77" t="s">
        <v>234</v>
      </c>
      <c r="C274" s="80" t="s">
        <v>69</v>
      </c>
      <c r="D274" s="80" t="s">
        <v>33</v>
      </c>
      <c r="E274" s="88"/>
      <c r="F274" s="76"/>
      <c r="G274" s="163">
        <f t="shared" ref="G274:H277" si="42">G275</f>
        <v>295</v>
      </c>
      <c r="H274" s="163">
        <f t="shared" si="42"/>
        <v>275</v>
      </c>
      <c r="I274" s="163">
        <f t="shared" si="40"/>
        <v>20</v>
      </c>
      <c r="J274" s="164">
        <f t="shared" si="41"/>
        <v>93.220338983050837</v>
      </c>
    </row>
    <row r="275" spans="1:10" s="11" customFormat="1" ht="22.5">
      <c r="A275" s="82" t="s">
        <v>11</v>
      </c>
      <c r="B275" s="83" t="s">
        <v>234</v>
      </c>
      <c r="C275" s="84" t="s">
        <v>69</v>
      </c>
      <c r="D275" s="84" t="s">
        <v>62</v>
      </c>
      <c r="E275" s="86"/>
      <c r="F275" s="81"/>
      <c r="G275" s="166">
        <f t="shared" si="42"/>
        <v>295</v>
      </c>
      <c r="H275" s="166">
        <f t="shared" si="42"/>
        <v>275</v>
      </c>
      <c r="I275" s="166">
        <f t="shared" si="40"/>
        <v>20</v>
      </c>
      <c r="J275" s="165">
        <f t="shared" si="41"/>
        <v>93.220338983050837</v>
      </c>
    </row>
    <row r="276" spans="1:10" s="11" customFormat="1" ht="22.5">
      <c r="A276" s="85" t="s">
        <v>93</v>
      </c>
      <c r="B276" s="83" t="s">
        <v>234</v>
      </c>
      <c r="C276" s="84" t="s">
        <v>69</v>
      </c>
      <c r="D276" s="84" t="s">
        <v>62</v>
      </c>
      <c r="E276" s="86" t="s">
        <v>94</v>
      </c>
      <c r="F276" s="81"/>
      <c r="G276" s="166">
        <f t="shared" si="42"/>
        <v>295</v>
      </c>
      <c r="H276" s="166">
        <f t="shared" si="42"/>
        <v>275</v>
      </c>
      <c r="I276" s="166">
        <f t="shared" si="40"/>
        <v>20</v>
      </c>
      <c r="J276" s="165">
        <f t="shared" si="41"/>
        <v>93.220338983050837</v>
      </c>
    </row>
    <row r="277" spans="1:10" s="11" customFormat="1" ht="22.5">
      <c r="A277" s="85" t="s">
        <v>97</v>
      </c>
      <c r="B277" s="83" t="s">
        <v>234</v>
      </c>
      <c r="C277" s="84" t="s">
        <v>69</v>
      </c>
      <c r="D277" s="84" t="s">
        <v>62</v>
      </c>
      <c r="E277" s="86" t="s">
        <v>98</v>
      </c>
      <c r="F277" s="81"/>
      <c r="G277" s="166">
        <f t="shared" si="42"/>
        <v>295</v>
      </c>
      <c r="H277" s="166">
        <f t="shared" si="42"/>
        <v>275</v>
      </c>
      <c r="I277" s="166">
        <f t="shared" si="40"/>
        <v>20</v>
      </c>
      <c r="J277" s="165">
        <f t="shared" si="41"/>
        <v>93.220338983050837</v>
      </c>
    </row>
    <row r="278" spans="1:10" s="11" customFormat="1" ht="22.5">
      <c r="A278" s="82" t="s">
        <v>132</v>
      </c>
      <c r="B278" s="83" t="s">
        <v>234</v>
      </c>
      <c r="C278" s="84" t="s">
        <v>69</v>
      </c>
      <c r="D278" s="84" t="s">
        <v>62</v>
      </c>
      <c r="E278" s="86" t="s">
        <v>98</v>
      </c>
      <c r="F278" s="81">
        <v>726</v>
      </c>
      <c r="G278" s="166">
        <v>295</v>
      </c>
      <c r="H278" s="166">
        <v>275</v>
      </c>
      <c r="I278" s="166">
        <f t="shared" si="40"/>
        <v>20</v>
      </c>
      <c r="J278" s="165">
        <f t="shared" si="41"/>
        <v>93.220338983050837</v>
      </c>
    </row>
    <row r="279" spans="1:10" s="11" customFormat="1" ht="21">
      <c r="A279" s="79" t="s">
        <v>79</v>
      </c>
      <c r="B279" s="77" t="s">
        <v>234</v>
      </c>
      <c r="C279" s="80" t="s">
        <v>70</v>
      </c>
      <c r="D279" s="80" t="s">
        <v>33</v>
      </c>
      <c r="E279" s="88"/>
      <c r="F279" s="76"/>
      <c r="G279" s="163">
        <f t="shared" ref="G279:H282" si="43">G280</f>
        <v>180</v>
      </c>
      <c r="H279" s="163">
        <f t="shared" si="43"/>
        <v>130.19999999999999</v>
      </c>
      <c r="I279" s="163">
        <f t="shared" si="40"/>
        <v>49.800000000000011</v>
      </c>
      <c r="J279" s="164">
        <f t="shared" si="41"/>
        <v>72.333333333333329</v>
      </c>
    </row>
    <row r="280" spans="1:10" s="11" customFormat="1" ht="22.5">
      <c r="A280" s="82" t="s">
        <v>80</v>
      </c>
      <c r="B280" s="83" t="s">
        <v>234</v>
      </c>
      <c r="C280" s="84" t="s">
        <v>70</v>
      </c>
      <c r="D280" s="84" t="s">
        <v>62</v>
      </c>
      <c r="E280" s="86"/>
      <c r="F280" s="81"/>
      <c r="G280" s="166">
        <f t="shared" si="43"/>
        <v>180</v>
      </c>
      <c r="H280" s="166">
        <f t="shared" si="43"/>
        <v>130.19999999999999</v>
      </c>
      <c r="I280" s="166">
        <f t="shared" si="40"/>
        <v>49.800000000000011</v>
      </c>
      <c r="J280" s="165">
        <f t="shared" si="41"/>
        <v>72.333333333333329</v>
      </c>
    </row>
    <row r="281" spans="1:10" s="11" customFormat="1" ht="22.5">
      <c r="A281" s="85" t="s">
        <v>93</v>
      </c>
      <c r="B281" s="83" t="s">
        <v>234</v>
      </c>
      <c r="C281" s="84" t="s">
        <v>70</v>
      </c>
      <c r="D281" s="84" t="s">
        <v>62</v>
      </c>
      <c r="E281" s="86" t="s">
        <v>94</v>
      </c>
      <c r="F281" s="81"/>
      <c r="G281" s="166">
        <f t="shared" si="43"/>
        <v>180</v>
      </c>
      <c r="H281" s="166">
        <f t="shared" si="43"/>
        <v>130.19999999999999</v>
      </c>
      <c r="I281" s="166">
        <f t="shared" si="40"/>
        <v>49.800000000000011</v>
      </c>
      <c r="J281" s="165">
        <f t="shared" si="41"/>
        <v>72.333333333333329</v>
      </c>
    </row>
    <row r="282" spans="1:10" s="11" customFormat="1" ht="22.5">
      <c r="A282" s="85" t="s">
        <v>97</v>
      </c>
      <c r="B282" s="83" t="s">
        <v>234</v>
      </c>
      <c r="C282" s="84" t="s">
        <v>70</v>
      </c>
      <c r="D282" s="84" t="s">
        <v>62</v>
      </c>
      <c r="E282" s="86" t="s">
        <v>98</v>
      </c>
      <c r="F282" s="81"/>
      <c r="G282" s="166">
        <f t="shared" si="43"/>
        <v>180</v>
      </c>
      <c r="H282" s="166">
        <f t="shared" si="43"/>
        <v>130.19999999999999</v>
      </c>
      <c r="I282" s="166">
        <f t="shared" si="40"/>
        <v>49.800000000000011</v>
      </c>
      <c r="J282" s="165">
        <f t="shared" si="41"/>
        <v>72.333333333333329</v>
      </c>
    </row>
    <row r="283" spans="1:10" s="11" customFormat="1" ht="22.5">
      <c r="A283" s="82" t="s">
        <v>132</v>
      </c>
      <c r="B283" s="83" t="s">
        <v>234</v>
      </c>
      <c r="C283" s="84" t="s">
        <v>70</v>
      </c>
      <c r="D283" s="84" t="s">
        <v>62</v>
      </c>
      <c r="E283" s="86" t="s">
        <v>98</v>
      </c>
      <c r="F283" s="81">
        <v>726</v>
      </c>
      <c r="G283" s="166">
        <v>180</v>
      </c>
      <c r="H283" s="166">
        <v>130.19999999999999</v>
      </c>
      <c r="I283" s="166">
        <f t="shared" si="40"/>
        <v>49.800000000000011</v>
      </c>
      <c r="J283" s="165">
        <f t="shared" si="41"/>
        <v>72.333333333333329</v>
      </c>
    </row>
    <row r="284" spans="1:10" s="11" customFormat="1" ht="21.75">
      <c r="A284" s="79" t="s">
        <v>148</v>
      </c>
      <c r="B284" s="77" t="s">
        <v>238</v>
      </c>
      <c r="C284" s="80"/>
      <c r="D284" s="80"/>
      <c r="E284" s="88"/>
      <c r="F284" s="76"/>
      <c r="G284" s="163">
        <f>G285+G294</f>
        <v>274.2</v>
      </c>
      <c r="H284" s="163">
        <f>H285+H294</f>
        <v>274.2</v>
      </c>
      <c r="I284" s="163">
        <f t="shared" si="40"/>
        <v>0</v>
      </c>
      <c r="J284" s="164">
        <f t="shared" si="41"/>
        <v>100</v>
      </c>
    </row>
    <row r="285" spans="1:10" s="11" customFormat="1" ht="21">
      <c r="A285" s="79" t="s">
        <v>7</v>
      </c>
      <c r="B285" s="77" t="s">
        <v>238</v>
      </c>
      <c r="C285" s="80" t="s">
        <v>65</v>
      </c>
      <c r="D285" s="80" t="s">
        <v>33</v>
      </c>
      <c r="E285" s="86"/>
      <c r="F285" s="81"/>
      <c r="G285" s="163">
        <f>G286+G290</f>
        <v>194.2</v>
      </c>
      <c r="H285" s="163">
        <f>H286+H290</f>
        <v>194.2</v>
      </c>
      <c r="I285" s="163">
        <f t="shared" si="40"/>
        <v>0</v>
      </c>
      <c r="J285" s="164">
        <f t="shared" si="41"/>
        <v>100</v>
      </c>
    </row>
    <row r="286" spans="1:10" s="11" customFormat="1" ht="22.5">
      <c r="A286" s="82" t="s">
        <v>349</v>
      </c>
      <c r="B286" s="83" t="s">
        <v>238</v>
      </c>
      <c r="C286" s="84" t="s">
        <v>65</v>
      </c>
      <c r="D286" s="84" t="s">
        <v>63</v>
      </c>
      <c r="E286" s="86"/>
      <c r="F286" s="81"/>
      <c r="G286" s="166">
        <f t="shared" ref="G286:H288" si="44">G287</f>
        <v>124.2</v>
      </c>
      <c r="H286" s="166">
        <f t="shared" si="44"/>
        <v>124.2</v>
      </c>
      <c r="I286" s="166">
        <f t="shared" si="40"/>
        <v>0</v>
      </c>
      <c r="J286" s="165">
        <f t="shared" si="41"/>
        <v>100</v>
      </c>
    </row>
    <row r="287" spans="1:10" s="11" customFormat="1" ht="22.5">
      <c r="A287" s="85" t="s">
        <v>93</v>
      </c>
      <c r="B287" s="83" t="s">
        <v>238</v>
      </c>
      <c r="C287" s="84" t="s">
        <v>65</v>
      </c>
      <c r="D287" s="84" t="s">
        <v>63</v>
      </c>
      <c r="E287" s="86" t="s">
        <v>94</v>
      </c>
      <c r="F287" s="81"/>
      <c r="G287" s="166">
        <f t="shared" si="44"/>
        <v>124.2</v>
      </c>
      <c r="H287" s="166">
        <f t="shared" si="44"/>
        <v>124.2</v>
      </c>
      <c r="I287" s="166">
        <f t="shared" si="40"/>
        <v>0</v>
      </c>
      <c r="J287" s="165">
        <f t="shared" si="41"/>
        <v>100</v>
      </c>
    </row>
    <row r="288" spans="1:10" s="11" customFormat="1" ht="22.5">
      <c r="A288" s="85" t="s">
        <v>97</v>
      </c>
      <c r="B288" s="83" t="s">
        <v>238</v>
      </c>
      <c r="C288" s="84" t="s">
        <v>65</v>
      </c>
      <c r="D288" s="84" t="s">
        <v>63</v>
      </c>
      <c r="E288" s="86" t="s">
        <v>98</v>
      </c>
      <c r="F288" s="81"/>
      <c r="G288" s="166">
        <f t="shared" si="44"/>
        <v>124.2</v>
      </c>
      <c r="H288" s="166">
        <f t="shared" si="44"/>
        <v>124.2</v>
      </c>
      <c r="I288" s="166">
        <f t="shared" si="40"/>
        <v>0</v>
      </c>
      <c r="J288" s="165">
        <f t="shared" si="41"/>
        <v>100</v>
      </c>
    </row>
    <row r="289" spans="1:10" s="11" customFormat="1" ht="22.5">
      <c r="A289" s="82" t="s">
        <v>131</v>
      </c>
      <c r="B289" s="83" t="s">
        <v>238</v>
      </c>
      <c r="C289" s="84" t="s">
        <v>65</v>
      </c>
      <c r="D289" s="84" t="s">
        <v>63</v>
      </c>
      <c r="E289" s="86" t="s">
        <v>98</v>
      </c>
      <c r="F289" s="81">
        <v>725</v>
      </c>
      <c r="G289" s="166">
        <v>124.2</v>
      </c>
      <c r="H289" s="166">
        <v>124.2</v>
      </c>
      <c r="I289" s="166">
        <f t="shared" si="40"/>
        <v>0</v>
      </c>
      <c r="J289" s="165">
        <f t="shared" si="41"/>
        <v>100</v>
      </c>
    </row>
    <row r="290" spans="1:10" s="11" customFormat="1" ht="22.5">
      <c r="A290" s="82" t="s">
        <v>302</v>
      </c>
      <c r="B290" s="83" t="s">
        <v>238</v>
      </c>
      <c r="C290" s="84" t="s">
        <v>65</v>
      </c>
      <c r="D290" s="84" t="s">
        <v>66</v>
      </c>
      <c r="E290" s="86"/>
      <c r="F290" s="81"/>
      <c r="G290" s="166">
        <f t="shared" ref="G290:H292" si="45">G291</f>
        <v>70</v>
      </c>
      <c r="H290" s="166">
        <f t="shared" si="45"/>
        <v>70</v>
      </c>
      <c r="I290" s="166">
        <f>G290-H290</f>
        <v>0</v>
      </c>
      <c r="J290" s="165">
        <f t="shared" si="41"/>
        <v>100</v>
      </c>
    </row>
    <row r="291" spans="1:10" s="11" customFormat="1" ht="22.5">
      <c r="A291" s="85" t="s">
        <v>93</v>
      </c>
      <c r="B291" s="83" t="s">
        <v>238</v>
      </c>
      <c r="C291" s="84" t="s">
        <v>65</v>
      </c>
      <c r="D291" s="84" t="s">
        <v>66</v>
      </c>
      <c r="E291" s="86" t="s">
        <v>94</v>
      </c>
      <c r="F291" s="81"/>
      <c r="G291" s="166">
        <f t="shared" si="45"/>
        <v>70</v>
      </c>
      <c r="H291" s="166">
        <f t="shared" si="45"/>
        <v>70</v>
      </c>
      <c r="I291" s="166">
        <f t="shared" si="40"/>
        <v>0</v>
      </c>
      <c r="J291" s="165">
        <f t="shared" si="41"/>
        <v>100</v>
      </c>
    </row>
    <row r="292" spans="1:10" s="11" customFormat="1" ht="22.5">
      <c r="A292" s="85" t="s">
        <v>97</v>
      </c>
      <c r="B292" s="83" t="s">
        <v>238</v>
      </c>
      <c r="C292" s="84" t="s">
        <v>65</v>
      </c>
      <c r="D292" s="84" t="s">
        <v>66</v>
      </c>
      <c r="E292" s="86" t="s">
        <v>98</v>
      </c>
      <c r="F292" s="81"/>
      <c r="G292" s="166">
        <f t="shared" si="45"/>
        <v>70</v>
      </c>
      <c r="H292" s="166">
        <f t="shared" si="45"/>
        <v>70</v>
      </c>
      <c r="I292" s="166">
        <f t="shared" si="40"/>
        <v>0</v>
      </c>
      <c r="J292" s="165">
        <f t="shared" si="41"/>
        <v>100</v>
      </c>
    </row>
    <row r="293" spans="1:10" s="11" customFormat="1" ht="22.5">
      <c r="A293" s="82" t="s">
        <v>132</v>
      </c>
      <c r="B293" s="83" t="s">
        <v>238</v>
      </c>
      <c r="C293" s="84" t="s">
        <v>65</v>
      </c>
      <c r="D293" s="84" t="s">
        <v>66</v>
      </c>
      <c r="E293" s="86" t="s">
        <v>98</v>
      </c>
      <c r="F293" s="81">
        <v>726</v>
      </c>
      <c r="G293" s="166">
        <v>70</v>
      </c>
      <c r="H293" s="166">
        <v>70</v>
      </c>
      <c r="I293" s="166">
        <f t="shared" si="40"/>
        <v>0</v>
      </c>
      <c r="J293" s="165">
        <f t="shared" si="41"/>
        <v>100</v>
      </c>
    </row>
    <row r="294" spans="1:10" s="11" customFormat="1" ht="21">
      <c r="A294" s="89" t="s">
        <v>120</v>
      </c>
      <c r="B294" s="77" t="s">
        <v>238</v>
      </c>
      <c r="C294" s="80" t="s">
        <v>69</v>
      </c>
      <c r="D294" s="80" t="s">
        <v>33</v>
      </c>
      <c r="E294" s="88"/>
      <c r="F294" s="76"/>
      <c r="G294" s="163">
        <f t="shared" ref="G294:H297" si="46">G295</f>
        <v>80</v>
      </c>
      <c r="H294" s="163">
        <f t="shared" si="46"/>
        <v>80</v>
      </c>
      <c r="I294" s="163">
        <f t="shared" si="40"/>
        <v>0</v>
      </c>
      <c r="J294" s="164">
        <f t="shared" si="41"/>
        <v>100</v>
      </c>
    </row>
    <row r="295" spans="1:10" s="11" customFormat="1" ht="22.5">
      <c r="A295" s="82" t="s">
        <v>11</v>
      </c>
      <c r="B295" s="83" t="s">
        <v>238</v>
      </c>
      <c r="C295" s="84" t="s">
        <v>69</v>
      </c>
      <c r="D295" s="84" t="s">
        <v>62</v>
      </c>
      <c r="E295" s="86"/>
      <c r="F295" s="81"/>
      <c r="G295" s="166">
        <f t="shared" si="46"/>
        <v>80</v>
      </c>
      <c r="H295" s="166">
        <f t="shared" si="46"/>
        <v>80</v>
      </c>
      <c r="I295" s="166">
        <f t="shared" si="40"/>
        <v>0</v>
      </c>
      <c r="J295" s="165">
        <f t="shared" si="41"/>
        <v>100</v>
      </c>
    </row>
    <row r="296" spans="1:10" s="11" customFormat="1" ht="22.5">
      <c r="A296" s="85" t="s">
        <v>93</v>
      </c>
      <c r="B296" s="83" t="s">
        <v>238</v>
      </c>
      <c r="C296" s="84" t="s">
        <v>69</v>
      </c>
      <c r="D296" s="84" t="s">
        <v>62</v>
      </c>
      <c r="E296" s="86" t="s">
        <v>94</v>
      </c>
      <c r="F296" s="81"/>
      <c r="G296" s="166">
        <f t="shared" si="46"/>
        <v>80</v>
      </c>
      <c r="H296" s="166">
        <f t="shared" si="46"/>
        <v>80</v>
      </c>
      <c r="I296" s="166">
        <f t="shared" si="40"/>
        <v>0</v>
      </c>
      <c r="J296" s="165">
        <f t="shared" si="41"/>
        <v>100</v>
      </c>
    </row>
    <row r="297" spans="1:10" s="11" customFormat="1" ht="22.5">
      <c r="A297" s="85" t="s">
        <v>97</v>
      </c>
      <c r="B297" s="83" t="s">
        <v>238</v>
      </c>
      <c r="C297" s="84" t="s">
        <v>69</v>
      </c>
      <c r="D297" s="84" t="s">
        <v>62</v>
      </c>
      <c r="E297" s="86" t="s">
        <v>98</v>
      </c>
      <c r="F297" s="81"/>
      <c r="G297" s="166">
        <f t="shared" si="46"/>
        <v>80</v>
      </c>
      <c r="H297" s="166">
        <f t="shared" si="46"/>
        <v>80</v>
      </c>
      <c r="I297" s="166">
        <f t="shared" si="40"/>
        <v>0</v>
      </c>
      <c r="J297" s="165">
        <f t="shared" si="41"/>
        <v>100</v>
      </c>
    </row>
    <row r="298" spans="1:10" s="11" customFormat="1" ht="22.5">
      <c r="A298" s="82" t="s">
        <v>132</v>
      </c>
      <c r="B298" s="83" t="s">
        <v>238</v>
      </c>
      <c r="C298" s="84" t="s">
        <v>69</v>
      </c>
      <c r="D298" s="84" t="s">
        <v>62</v>
      </c>
      <c r="E298" s="86" t="s">
        <v>98</v>
      </c>
      <c r="F298" s="81">
        <v>726</v>
      </c>
      <c r="G298" s="166">
        <v>80</v>
      </c>
      <c r="H298" s="166">
        <v>80</v>
      </c>
      <c r="I298" s="166">
        <f t="shared" si="40"/>
        <v>0</v>
      </c>
      <c r="J298" s="165">
        <f t="shared" si="41"/>
        <v>100</v>
      </c>
    </row>
    <row r="299" spans="1:10" s="11" customFormat="1" ht="27.6" customHeight="1">
      <c r="A299" s="79" t="s">
        <v>157</v>
      </c>
      <c r="B299" s="77" t="s">
        <v>247</v>
      </c>
      <c r="C299" s="80"/>
      <c r="D299" s="80"/>
      <c r="E299" s="88"/>
      <c r="F299" s="76"/>
      <c r="G299" s="163">
        <f>G300+G305+G314</f>
        <v>128.69999999999999</v>
      </c>
      <c r="H299" s="163">
        <f>H300+H305+H314</f>
        <v>95.699999999999989</v>
      </c>
      <c r="I299" s="163">
        <f t="shared" si="40"/>
        <v>33</v>
      </c>
      <c r="J299" s="164">
        <f t="shared" si="41"/>
        <v>74.358974358974365</v>
      </c>
    </row>
    <row r="300" spans="1:10" s="11" customFormat="1" ht="21">
      <c r="A300" s="79" t="s">
        <v>7</v>
      </c>
      <c r="B300" s="77" t="s">
        <v>247</v>
      </c>
      <c r="C300" s="80" t="s">
        <v>65</v>
      </c>
      <c r="D300" s="80" t="s">
        <v>33</v>
      </c>
      <c r="E300" s="86"/>
      <c r="F300" s="81"/>
      <c r="G300" s="166">
        <f t="shared" ref="G300:H303" si="47">G301</f>
        <v>40</v>
      </c>
      <c r="H300" s="166">
        <f t="shared" si="47"/>
        <v>19</v>
      </c>
      <c r="I300" s="166">
        <f t="shared" si="40"/>
        <v>21</v>
      </c>
      <c r="J300" s="165">
        <f t="shared" si="41"/>
        <v>47.5</v>
      </c>
    </row>
    <row r="301" spans="1:10" s="11" customFormat="1" ht="22.5">
      <c r="A301" s="82" t="s">
        <v>302</v>
      </c>
      <c r="B301" s="83" t="s">
        <v>247</v>
      </c>
      <c r="C301" s="84" t="s">
        <v>65</v>
      </c>
      <c r="D301" s="84" t="s">
        <v>66</v>
      </c>
      <c r="E301" s="86"/>
      <c r="F301" s="81"/>
      <c r="G301" s="166">
        <f t="shared" si="47"/>
        <v>40</v>
      </c>
      <c r="H301" s="166">
        <f t="shared" si="47"/>
        <v>19</v>
      </c>
      <c r="I301" s="166">
        <f t="shared" si="40"/>
        <v>21</v>
      </c>
      <c r="J301" s="165">
        <f t="shared" si="41"/>
        <v>47.5</v>
      </c>
    </row>
    <row r="302" spans="1:10" s="11" customFormat="1" ht="22.5">
      <c r="A302" s="85" t="s">
        <v>93</v>
      </c>
      <c r="B302" s="83" t="s">
        <v>247</v>
      </c>
      <c r="C302" s="84" t="s">
        <v>65</v>
      </c>
      <c r="D302" s="84" t="s">
        <v>66</v>
      </c>
      <c r="E302" s="86" t="s">
        <v>94</v>
      </c>
      <c r="F302" s="81"/>
      <c r="G302" s="166">
        <f t="shared" si="47"/>
        <v>40</v>
      </c>
      <c r="H302" s="166">
        <f t="shared" si="47"/>
        <v>19</v>
      </c>
      <c r="I302" s="166">
        <f t="shared" si="40"/>
        <v>21</v>
      </c>
      <c r="J302" s="165">
        <f t="shared" si="41"/>
        <v>47.5</v>
      </c>
    </row>
    <row r="303" spans="1:10" s="11" customFormat="1" ht="22.5">
      <c r="A303" s="85" t="s">
        <v>97</v>
      </c>
      <c r="B303" s="83" t="s">
        <v>247</v>
      </c>
      <c r="C303" s="84" t="s">
        <v>65</v>
      </c>
      <c r="D303" s="84" t="s">
        <v>66</v>
      </c>
      <c r="E303" s="86" t="s">
        <v>98</v>
      </c>
      <c r="F303" s="81"/>
      <c r="G303" s="166">
        <f t="shared" si="47"/>
        <v>40</v>
      </c>
      <c r="H303" s="166">
        <f t="shared" si="47"/>
        <v>19</v>
      </c>
      <c r="I303" s="166">
        <f t="shared" si="40"/>
        <v>21</v>
      </c>
      <c r="J303" s="165">
        <f t="shared" si="41"/>
        <v>47.5</v>
      </c>
    </row>
    <row r="304" spans="1:10" s="11" customFormat="1" ht="22.5">
      <c r="A304" s="82" t="s">
        <v>132</v>
      </c>
      <c r="B304" s="83" t="s">
        <v>247</v>
      </c>
      <c r="C304" s="84" t="s">
        <v>65</v>
      </c>
      <c r="D304" s="84" t="s">
        <v>66</v>
      </c>
      <c r="E304" s="86" t="s">
        <v>98</v>
      </c>
      <c r="F304" s="81">
        <v>726</v>
      </c>
      <c r="G304" s="166">
        <v>40</v>
      </c>
      <c r="H304" s="166">
        <v>19</v>
      </c>
      <c r="I304" s="166">
        <f t="shared" si="40"/>
        <v>21</v>
      </c>
      <c r="J304" s="165">
        <f t="shared" si="41"/>
        <v>47.5</v>
      </c>
    </row>
    <row r="305" spans="1:10" s="11" customFormat="1" ht="21">
      <c r="A305" s="89" t="s">
        <v>120</v>
      </c>
      <c r="B305" s="77" t="s">
        <v>247</v>
      </c>
      <c r="C305" s="80" t="s">
        <v>69</v>
      </c>
      <c r="D305" s="80" t="s">
        <v>33</v>
      </c>
      <c r="E305" s="88"/>
      <c r="F305" s="76"/>
      <c r="G305" s="163">
        <f>G306+G310</f>
        <v>55.099999999999994</v>
      </c>
      <c r="H305" s="163">
        <f>H306+H310</f>
        <v>55.099999999999994</v>
      </c>
      <c r="I305" s="163">
        <f t="shared" si="40"/>
        <v>0</v>
      </c>
      <c r="J305" s="164">
        <f t="shared" si="41"/>
        <v>100</v>
      </c>
    </row>
    <row r="306" spans="1:10" s="11" customFormat="1" ht="22.5">
      <c r="A306" s="82" t="s">
        <v>11</v>
      </c>
      <c r="B306" s="83" t="s">
        <v>247</v>
      </c>
      <c r="C306" s="84" t="s">
        <v>69</v>
      </c>
      <c r="D306" s="84" t="s">
        <v>62</v>
      </c>
      <c r="E306" s="86"/>
      <c r="F306" s="81"/>
      <c r="G306" s="166">
        <f t="shared" ref="G306:H308" si="48">G307</f>
        <v>18.7</v>
      </c>
      <c r="H306" s="166">
        <f t="shared" si="48"/>
        <v>18.7</v>
      </c>
      <c r="I306" s="166">
        <f t="shared" si="40"/>
        <v>0</v>
      </c>
      <c r="J306" s="165">
        <f t="shared" si="41"/>
        <v>100</v>
      </c>
    </row>
    <row r="307" spans="1:10" s="11" customFormat="1" ht="22.5">
      <c r="A307" s="85" t="s">
        <v>93</v>
      </c>
      <c r="B307" s="83" t="s">
        <v>247</v>
      </c>
      <c r="C307" s="84" t="s">
        <v>69</v>
      </c>
      <c r="D307" s="84" t="s">
        <v>62</v>
      </c>
      <c r="E307" s="86" t="s">
        <v>94</v>
      </c>
      <c r="F307" s="81"/>
      <c r="G307" s="166">
        <f t="shared" si="48"/>
        <v>18.7</v>
      </c>
      <c r="H307" s="166">
        <f t="shared" si="48"/>
        <v>18.7</v>
      </c>
      <c r="I307" s="166">
        <f t="shared" si="40"/>
        <v>0</v>
      </c>
      <c r="J307" s="165">
        <f t="shared" si="41"/>
        <v>100</v>
      </c>
    </row>
    <row r="308" spans="1:10" s="11" customFormat="1" ht="22.5">
      <c r="A308" s="85" t="s">
        <v>97</v>
      </c>
      <c r="B308" s="83" t="s">
        <v>247</v>
      </c>
      <c r="C308" s="84" t="s">
        <v>69</v>
      </c>
      <c r="D308" s="84" t="s">
        <v>62</v>
      </c>
      <c r="E308" s="86" t="s">
        <v>98</v>
      </c>
      <c r="F308" s="81"/>
      <c r="G308" s="166">
        <f t="shared" si="48"/>
        <v>18.7</v>
      </c>
      <c r="H308" s="166">
        <f t="shared" si="48"/>
        <v>18.7</v>
      </c>
      <c r="I308" s="166">
        <f t="shared" si="40"/>
        <v>0</v>
      </c>
      <c r="J308" s="165">
        <f t="shared" si="41"/>
        <v>100</v>
      </c>
    </row>
    <row r="309" spans="1:10" s="11" customFormat="1" ht="22.5">
      <c r="A309" s="82" t="s">
        <v>132</v>
      </c>
      <c r="B309" s="83" t="s">
        <v>247</v>
      </c>
      <c r="C309" s="84" t="s">
        <v>69</v>
      </c>
      <c r="D309" s="84" t="s">
        <v>62</v>
      </c>
      <c r="E309" s="86" t="s">
        <v>98</v>
      </c>
      <c r="F309" s="81">
        <v>726</v>
      </c>
      <c r="G309" s="166">
        <f>54.5-20-7.3-8.5</f>
        <v>18.7</v>
      </c>
      <c r="H309" s="166">
        <v>18.7</v>
      </c>
      <c r="I309" s="166">
        <f t="shared" si="40"/>
        <v>0</v>
      </c>
      <c r="J309" s="165">
        <f t="shared" si="41"/>
        <v>100</v>
      </c>
    </row>
    <row r="310" spans="1:10" s="11" customFormat="1" ht="22.5">
      <c r="A310" s="85" t="s">
        <v>82</v>
      </c>
      <c r="B310" s="83" t="s">
        <v>247</v>
      </c>
      <c r="C310" s="84" t="s">
        <v>69</v>
      </c>
      <c r="D310" s="84" t="s">
        <v>64</v>
      </c>
      <c r="E310" s="86"/>
      <c r="F310" s="81"/>
      <c r="G310" s="166">
        <f t="shared" ref="G310:H312" si="49">G311</f>
        <v>36.4</v>
      </c>
      <c r="H310" s="166">
        <f t="shared" si="49"/>
        <v>36.4</v>
      </c>
      <c r="I310" s="166">
        <f t="shared" si="40"/>
        <v>0</v>
      </c>
      <c r="J310" s="165">
        <f t="shared" si="41"/>
        <v>100</v>
      </c>
    </row>
    <row r="311" spans="1:10" s="11" customFormat="1" ht="22.5">
      <c r="A311" s="85" t="s">
        <v>331</v>
      </c>
      <c r="B311" s="83" t="s">
        <v>247</v>
      </c>
      <c r="C311" s="84" t="s">
        <v>69</v>
      </c>
      <c r="D311" s="84" t="s">
        <v>64</v>
      </c>
      <c r="E311" s="86" t="s">
        <v>92</v>
      </c>
      <c r="F311" s="81"/>
      <c r="G311" s="166">
        <f t="shared" si="49"/>
        <v>36.4</v>
      </c>
      <c r="H311" s="166">
        <f t="shared" si="49"/>
        <v>36.4</v>
      </c>
      <c r="I311" s="166">
        <f t="shared" si="40"/>
        <v>0</v>
      </c>
      <c r="J311" s="165">
        <f t="shared" si="41"/>
        <v>100</v>
      </c>
    </row>
    <row r="312" spans="1:10" s="11" customFormat="1" ht="22.5">
      <c r="A312" s="85" t="s">
        <v>558</v>
      </c>
      <c r="B312" s="83" t="s">
        <v>247</v>
      </c>
      <c r="C312" s="84" t="s">
        <v>69</v>
      </c>
      <c r="D312" s="84" t="s">
        <v>64</v>
      </c>
      <c r="E312" s="86" t="s">
        <v>89</v>
      </c>
      <c r="F312" s="81"/>
      <c r="G312" s="166">
        <f t="shared" si="49"/>
        <v>36.4</v>
      </c>
      <c r="H312" s="166">
        <f t="shared" si="49"/>
        <v>36.4</v>
      </c>
      <c r="I312" s="166">
        <f t="shared" si="40"/>
        <v>0</v>
      </c>
      <c r="J312" s="165">
        <f t="shared" si="41"/>
        <v>100</v>
      </c>
    </row>
    <row r="313" spans="1:10" s="11" customFormat="1" ht="22.5">
      <c r="A313" s="82" t="s">
        <v>132</v>
      </c>
      <c r="B313" s="83" t="s">
        <v>247</v>
      </c>
      <c r="C313" s="84" t="s">
        <v>69</v>
      </c>
      <c r="D313" s="84" t="s">
        <v>64</v>
      </c>
      <c r="E313" s="86" t="s">
        <v>89</v>
      </c>
      <c r="F313" s="81">
        <v>726</v>
      </c>
      <c r="G313" s="166">
        <f>36.4</f>
        <v>36.4</v>
      </c>
      <c r="H313" s="166">
        <v>36.4</v>
      </c>
      <c r="I313" s="166">
        <f t="shared" si="40"/>
        <v>0</v>
      </c>
      <c r="J313" s="165">
        <f t="shared" si="41"/>
        <v>100</v>
      </c>
    </row>
    <row r="314" spans="1:10" s="11" customFormat="1" ht="21">
      <c r="A314" s="79" t="s">
        <v>79</v>
      </c>
      <c r="B314" s="77" t="s">
        <v>247</v>
      </c>
      <c r="C314" s="80" t="s">
        <v>70</v>
      </c>
      <c r="D314" s="80" t="s">
        <v>33</v>
      </c>
      <c r="E314" s="88"/>
      <c r="F314" s="76"/>
      <c r="G314" s="163">
        <f t="shared" ref="G314:H317" si="50">G315</f>
        <v>33.6</v>
      </c>
      <c r="H314" s="163">
        <f t="shared" si="50"/>
        <v>21.6</v>
      </c>
      <c r="I314" s="163">
        <f t="shared" si="40"/>
        <v>12</v>
      </c>
      <c r="J314" s="164">
        <f t="shared" si="41"/>
        <v>64.285714285714292</v>
      </c>
    </row>
    <row r="315" spans="1:10" s="11" customFormat="1" ht="22.5">
      <c r="A315" s="82" t="s">
        <v>80</v>
      </c>
      <c r="B315" s="83" t="s">
        <v>247</v>
      </c>
      <c r="C315" s="84" t="s">
        <v>70</v>
      </c>
      <c r="D315" s="84" t="s">
        <v>62</v>
      </c>
      <c r="E315" s="86"/>
      <c r="F315" s="81"/>
      <c r="G315" s="166">
        <f t="shared" si="50"/>
        <v>33.6</v>
      </c>
      <c r="H315" s="166">
        <f t="shared" si="50"/>
        <v>21.6</v>
      </c>
      <c r="I315" s="166">
        <f t="shared" si="40"/>
        <v>12</v>
      </c>
      <c r="J315" s="165">
        <f t="shared" si="41"/>
        <v>64.285714285714292</v>
      </c>
    </row>
    <row r="316" spans="1:10" s="11" customFormat="1" ht="22.5">
      <c r="A316" s="85" t="s">
        <v>93</v>
      </c>
      <c r="B316" s="83" t="s">
        <v>247</v>
      </c>
      <c r="C316" s="84" t="s">
        <v>70</v>
      </c>
      <c r="D316" s="84" t="s">
        <v>62</v>
      </c>
      <c r="E316" s="86" t="s">
        <v>94</v>
      </c>
      <c r="F316" s="81"/>
      <c r="G316" s="166">
        <f t="shared" si="50"/>
        <v>33.6</v>
      </c>
      <c r="H316" s="166">
        <f t="shared" si="50"/>
        <v>21.6</v>
      </c>
      <c r="I316" s="166">
        <f t="shared" si="40"/>
        <v>12</v>
      </c>
      <c r="J316" s="165">
        <f t="shared" si="41"/>
        <v>64.285714285714292</v>
      </c>
    </row>
    <row r="317" spans="1:10" s="11" customFormat="1" ht="22.5">
      <c r="A317" s="85" t="s">
        <v>97</v>
      </c>
      <c r="B317" s="83" t="s">
        <v>247</v>
      </c>
      <c r="C317" s="84" t="s">
        <v>70</v>
      </c>
      <c r="D317" s="84" t="s">
        <v>62</v>
      </c>
      <c r="E317" s="86" t="s">
        <v>98</v>
      </c>
      <c r="F317" s="81"/>
      <c r="G317" s="166">
        <f t="shared" si="50"/>
        <v>33.6</v>
      </c>
      <c r="H317" s="166">
        <f t="shared" si="50"/>
        <v>21.6</v>
      </c>
      <c r="I317" s="166">
        <f t="shared" si="40"/>
        <v>12</v>
      </c>
      <c r="J317" s="165">
        <f t="shared" si="41"/>
        <v>64.285714285714292</v>
      </c>
    </row>
    <row r="318" spans="1:10" s="11" customFormat="1" ht="22.5">
      <c r="A318" s="82" t="s">
        <v>132</v>
      </c>
      <c r="B318" s="83" t="s">
        <v>247</v>
      </c>
      <c r="C318" s="84" t="s">
        <v>70</v>
      </c>
      <c r="D318" s="84" t="s">
        <v>62</v>
      </c>
      <c r="E318" s="86" t="s">
        <v>98</v>
      </c>
      <c r="F318" s="81">
        <v>726</v>
      </c>
      <c r="G318" s="166">
        <v>33.6</v>
      </c>
      <c r="H318" s="166">
        <v>21.6</v>
      </c>
      <c r="I318" s="166">
        <f t="shared" si="40"/>
        <v>12</v>
      </c>
      <c r="J318" s="165">
        <f t="shared" si="41"/>
        <v>64.285714285714292</v>
      </c>
    </row>
    <row r="319" spans="1:10" s="11" customFormat="1" ht="21.75">
      <c r="A319" s="79" t="s">
        <v>204</v>
      </c>
      <c r="B319" s="77" t="s">
        <v>235</v>
      </c>
      <c r="C319" s="80"/>
      <c r="D319" s="80"/>
      <c r="E319" s="88"/>
      <c r="F319" s="76"/>
      <c r="G319" s="163">
        <f>G320+G333</f>
        <v>393.09999999999997</v>
      </c>
      <c r="H319" s="163">
        <f>H320+H333</f>
        <v>393.09999999999997</v>
      </c>
      <c r="I319" s="163">
        <f t="shared" si="40"/>
        <v>0</v>
      </c>
      <c r="J319" s="164">
        <f t="shared" si="41"/>
        <v>100</v>
      </c>
    </row>
    <row r="320" spans="1:10" s="11" customFormat="1" ht="21">
      <c r="A320" s="79" t="s">
        <v>7</v>
      </c>
      <c r="B320" s="77" t="s">
        <v>235</v>
      </c>
      <c r="C320" s="80" t="s">
        <v>65</v>
      </c>
      <c r="D320" s="80" t="s">
        <v>33</v>
      </c>
      <c r="E320" s="86"/>
      <c r="F320" s="81"/>
      <c r="G320" s="163">
        <f>G321+G325+G329</f>
        <v>343.09999999999997</v>
      </c>
      <c r="H320" s="163">
        <f>H321+H325+H329</f>
        <v>343.09999999999997</v>
      </c>
      <c r="I320" s="163">
        <f t="shared" si="40"/>
        <v>0</v>
      </c>
      <c r="J320" s="164">
        <f t="shared" si="41"/>
        <v>100</v>
      </c>
    </row>
    <row r="321" spans="1:10" s="11" customFormat="1" ht="22.5">
      <c r="A321" s="82" t="s">
        <v>8</v>
      </c>
      <c r="B321" s="83" t="s">
        <v>235</v>
      </c>
      <c r="C321" s="84" t="s">
        <v>65</v>
      </c>
      <c r="D321" s="84" t="s">
        <v>62</v>
      </c>
      <c r="E321" s="86"/>
      <c r="F321" s="81"/>
      <c r="G321" s="166">
        <f t="shared" ref="G321:H323" si="51">G322</f>
        <v>124.5</v>
      </c>
      <c r="H321" s="166">
        <f t="shared" si="51"/>
        <v>124.5</v>
      </c>
      <c r="I321" s="166">
        <f t="shared" si="40"/>
        <v>0</v>
      </c>
      <c r="J321" s="165">
        <f t="shared" si="41"/>
        <v>100</v>
      </c>
    </row>
    <row r="322" spans="1:10" s="11" customFormat="1" ht="22.5">
      <c r="A322" s="85" t="s">
        <v>93</v>
      </c>
      <c r="B322" s="83" t="s">
        <v>235</v>
      </c>
      <c r="C322" s="84" t="s">
        <v>65</v>
      </c>
      <c r="D322" s="84" t="s">
        <v>62</v>
      </c>
      <c r="E322" s="86" t="s">
        <v>94</v>
      </c>
      <c r="F322" s="81"/>
      <c r="G322" s="166">
        <f t="shared" si="51"/>
        <v>124.5</v>
      </c>
      <c r="H322" s="166">
        <f t="shared" si="51"/>
        <v>124.5</v>
      </c>
      <c r="I322" s="166">
        <f t="shared" si="40"/>
        <v>0</v>
      </c>
      <c r="J322" s="165">
        <f t="shared" si="41"/>
        <v>100</v>
      </c>
    </row>
    <row r="323" spans="1:10" s="11" customFormat="1" ht="22.5">
      <c r="A323" s="85" t="s">
        <v>97</v>
      </c>
      <c r="B323" s="83" t="s">
        <v>235</v>
      </c>
      <c r="C323" s="84" t="s">
        <v>65</v>
      </c>
      <c r="D323" s="84" t="s">
        <v>62</v>
      </c>
      <c r="E323" s="86" t="s">
        <v>98</v>
      </c>
      <c r="F323" s="81"/>
      <c r="G323" s="166">
        <f t="shared" si="51"/>
        <v>124.5</v>
      </c>
      <c r="H323" s="166">
        <f t="shared" si="51"/>
        <v>124.5</v>
      </c>
      <c r="I323" s="166">
        <f t="shared" si="40"/>
        <v>0</v>
      </c>
      <c r="J323" s="165">
        <f t="shared" si="41"/>
        <v>100</v>
      </c>
    </row>
    <row r="324" spans="1:10" s="11" customFormat="1" ht="22.5">
      <c r="A324" s="82" t="s">
        <v>131</v>
      </c>
      <c r="B324" s="83" t="s">
        <v>235</v>
      </c>
      <c r="C324" s="84" t="s">
        <v>65</v>
      </c>
      <c r="D324" s="84" t="s">
        <v>62</v>
      </c>
      <c r="E324" s="86" t="s">
        <v>98</v>
      </c>
      <c r="F324" s="81">
        <v>725</v>
      </c>
      <c r="G324" s="166">
        <v>124.5</v>
      </c>
      <c r="H324" s="166">
        <v>124.5</v>
      </c>
      <c r="I324" s="166">
        <f t="shared" si="40"/>
        <v>0</v>
      </c>
      <c r="J324" s="165">
        <f t="shared" si="41"/>
        <v>100</v>
      </c>
    </row>
    <row r="325" spans="1:10" s="11" customFormat="1" ht="22.5">
      <c r="A325" s="82" t="s">
        <v>349</v>
      </c>
      <c r="B325" s="83" t="s">
        <v>235</v>
      </c>
      <c r="C325" s="84" t="s">
        <v>65</v>
      </c>
      <c r="D325" s="84" t="s">
        <v>63</v>
      </c>
      <c r="E325" s="86"/>
      <c r="F325" s="81"/>
      <c r="G325" s="166">
        <f t="shared" ref="G325:H327" si="52">G326</f>
        <v>180.2</v>
      </c>
      <c r="H325" s="166">
        <f t="shared" si="52"/>
        <v>180.2</v>
      </c>
      <c r="I325" s="166">
        <f t="shared" si="40"/>
        <v>0</v>
      </c>
      <c r="J325" s="165">
        <f t="shared" si="41"/>
        <v>100</v>
      </c>
    </row>
    <row r="326" spans="1:10" s="11" customFormat="1" ht="22.5">
      <c r="A326" s="85" t="s">
        <v>93</v>
      </c>
      <c r="B326" s="83" t="s">
        <v>235</v>
      </c>
      <c r="C326" s="84" t="s">
        <v>65</v>
      </c>
      <c r="D326" s="84" t="s">
        <v>63</v>
      </c>
      <c r="E326" s="86" t="s">
        <v>94</v>
      </c>
      <c r="F326" s="81"/>
      <c r="G326" s="166">
        <f t="shared" si="52"/>
        <v>180.2</v>
      </c>
      <c r="H326" s="166">
        <f t="shared" si="52"/>
        <v>180.2</v>
      </c>
      <c r="I326" s="166">
        <f t="shared" si="40"/>
        <v>0</v>
      </c>
      <c r="J326" s="165">
        <f t="shared" si="41"/>
        <v>100</v>
      </c>
    </row>
    <row r="327" spans="1:10" s="11" customFormat="1" ht="22.5">
      <c r="A327" s="85" t="s">
        <v>97</v>
      </c>
      <c r="B327" s="83" t="s">
        <v>235</v>
      </c>
      <c r="C327" s="84" t="s">
        <v>65</v>
      </c>
      <c r="D327" s="84" t="s">
        <v>63</v>
      </c>
      <c r="E327" s="86" t="s">
        <v>98</v>
      </c>
      <c r="F327" s="81"/>
      <c r="G327" s="166">
        <f t="shared" si="52"/>
        <v>180.2</v>
      </c>
      <c r="H327" s="166">
        <f t="shared" si="52"/>
        <v>180.2</v>
      </c>
      <c r="I327" s="166">
        <f t="shared" si="40"/>
        <v>0</v>
      </c>
      <c r="J327" s="165">
        <f t="shared" si="41"/>
        <v>100</v>
      </c>
    </row>
    <row r="328" spans="1:10" s="11" customFormat="1" ht="13.5" customHeight="1">
      <c r="A328" s="82" t="s">
        <v>131</v>
      </c>
      <c r="B328" s="83" t="s">
        <v>235</v>
      </c>
      <c r="C328" s="84" t="s">
        <v>65</v>
      </c>
      <c r="D328" s="84" t="s">
        <v>63</v>
      </c>
      <c r="E328" s="86" t="s">
        <v>98</v>
      </c>
      <c r="F328" s="81">
        <v>725</v>
      </c>
      <c r="G328" s="166">
        <f>293.5-113.3</f>
        <v>180.2</v>
      </c>
      <c r="H328" s="166">
        <v>180.2</v>
      </c>
      <c r="I328" s="166">
        <f t="shared" si="40"/>
        <v>0</v>
      </c>
      <c r="J328" s="165">
        <f t="shared" si="41"/>
        <v>100</v>
      </c>
    </row>
    <row r="329" spans="1:10" s="11" customFormat="1" ht="22.5">
      <c r="A329" s="82" t="s">
        <v>302</v>
      </c>
      <c r="B329" s="83" t="s">
        <v>235</v>
      </c>
      <c r="C329" s="84" t="s">
        <v>65</v>
      </c>
      <c r="D329" s="84" t="s">
        <v>66</v>
      </c>
      <c r="E329" s="86"/>
      <c r="F329" s="81"/>
      <c r="G329" s="166">
        <f t="shared" ref="G329:H331" si="53">G330</f>
        <v>38.4</v>
      </c>
      <c r="H329" s="166">
        <f t="shared" si="53"/>
        <v>38.4</v>
      </c>
      <c r="I329" s="166">
        <f t="shared" ref="I329:I392" si="54">G329-H329</f>
        <v>0</v>
      </c>
      <c r="J329" s="165">
        <f t="shared" ref="J329:J392" si="55">H329/G329*100</f>
        <v>100</v>
      </c>
    </row>
    <row r="330" spans="1:10" s="11" customFormat="1" ht="22.5">
      <c r="A330" s="85" t="s">
        <v>93</v>
      </c>
      <c r="B330" s="83" t="s">
        <v>235</v>
      </c>
      <c r="C330" s="84" t="s">
        <v>65</v>
      </c>
      <c r="D330" s="84" t="s">
        <v>66</v>
      </c>
      <c r="E330" s="86" t="s">
        <v>94</v>
      </c>
      <c r="F330" s="81"/>
      <c r="G330" s="166">
        <f t="shared" si="53"/>
        <v>38.4</v>
      </c>
      <c r="H330" s="166">
        <f t="shared" si="53"/>
        <v>38.4</v>
      </c>
      <c r="I330" s="166">
        <f t="shared" si="54"/>
        <v>0</v>
      </c>
      <c r="J330" s="165">
        <f t="shared" si="55"/>
        <v>100</v>
      </c>
    </row>
    <row r="331" spans="1:10" s="11" customFormat="1" ht="22.5">
      <c r="A331" s="85" t="s">
        <v>97</v>
      </c>
      <c r="B331" s="83" t="s">
        <v>235</v>
      </c>
      <c r="C331" s="84" t="s">
        <v>65</v>
      </c>
      <c r="D331" s="84" t="s">
        <v>66</v>
      </c>
      <c r="E331" s="86" t="s">
        <v>98</v>
      </c>
      <c r="F331" s="81"/>
      <c r="G331" s="166">
        <f t="shared" si="53"/>
        <v>38.4</v>
      </c>
      <c r="H331" s="166">
        <f t="shared" si="53"/>
        <v>38.4</v>
      </c>
      <c r="I331" s="166">
        <f t="shared" si="54"/>
        <v>0</v>
      </c>
      <c r="J331" s="165">
        <f t="shared" si="55"/>
        <v>100</v>
      </c>
    </row>
    <row r="332" spans="1:10" s="11" customFormat="1" ht="11.25" customHeight="1">
      <c r="A332" s="82" t="s">
        <v>131</v>
      </c>
      <c r="B332" s="83" t="s">
        <v>235</v>
      </c>
      <c r="C332" s="84" t="s">
        <v>65</v>
      </c>
      <c r="D332" s="84" t="s">
        <v>66</v>
      </c>
      <c r="E332" s="86" t="s">
        <v>98</v>
      </c>
      <c r="F332" s="81">
        <v>725</v>
      </c>
      <c r="G332" s="166">
        <v>38.4</v>
      </c>
      <c r="H332" s="166">
        <v>38.4</v>
      </c>
      <c r="I332" s="166">
        <f t="shared" si="54"/>
        <v>0</v>
      </c>
      <c r="J332" s="165">
        <f t="shared" si="55"/>
        <v>100</v>
      </c>
    </row>
    <row r="333" spans="1:10" s="11" customFormat="1" ht="21">
      <c r="A333" s="79" t="s">
        <v>79</v>
      </c>
      <c r="B333" s="77" t="s">
        <v>235</v>
      </c>
      <c r="C333" s="80" t="s">
        <v>70</v>
      </c>
      <c r="D333" s="80" t="s">
        <v>33</v>
      </c>
      <c r="E333" s="88"/>
      <c r="F333" s="76"/>
      <c r="G333" s="163">
        <f t="shared" ref="G333:H336" si="56">G334</f>
        <v>50</v>
      </c>
      <c r="H333" s="163">
        <f t="shared" si="56"/>
        <v>50</v>
      </c>
      <c r="I333" s="163">
        <f t="shared" si="54"/>
        <v>0</v>
      </c>
      <c r="J333" s="164">
        <f t="shared" si="55"/>
        <v>100</v>
      </c>
    </row>
    <row r="334" spans="1:10" s="11" customFormat="1" ht="22.5">
      <c r="A334" s="82" t="s">
        <v>80</v>
      </c>
      <c r="B334" s="83" t="s">
        <v>235</v>
      </c>
      <c r="C334" s="84" t="s">
        <v>70</v>
      </c>
      <c r="D334" s="84" t="s">
        <v>62</v>
      </c>
      <c r="E334" s="86"/>
      <c r="F334" s="81"/>
      <c r="G334" s="166">
        <f t="shared" si="56"/>
        <v>50</v>
      </c>
      <c r="H334" s="166">
        <f t="shared" si="56"/>
        <v>50</v>
      </c>
      <c r="I334" s="166">
        <f t="shared" si="54"/>
        <v>0</v>
      </c>
      <c r="J334" s="165">
        <f t="shared" si="55"/>
        <v>100</v>
      </c>
    </row>
    <row r="335" spans="1:10" s="11" customFormat="1" ht="22.5">
      <c r="A335" s="85" t="s">
        <v>93</v>
      </c>
      <c r="B335" s="83" t="s">
        <v>235</v>
      </c>
      <c r="C335" s="84" t="s">
        <v>70</v>
      </c>
      <c r="D335" s="84" t="s">
        <v>62</v>
      </c>
      <c r="E335" s="86" t="s">
        <v>94</v>
      </c>
      <c r="F335" s="81"/>
      <c r="G335" s="166">
        <f t="shared" si="56"/>
        <v>50</v>
      </c>
      <c r="H335" s="166">
        <f t="shared" si="56"/>
        <v>50</v>
      </c>
      <c r="I335" s="166">
        <f t="shared" si="54"/>
        <v>0</v>
      </c>
      <c r="J335" s="165">
        <f t="shared" si="55"/>
        <v>100</v>
      </c>
    </row>
    <row r="336" spans="1:10" s="11" customFormat="1" ht="22.5">
      <c r="A336" s="85" t="s">
        <v>97</v>
      </c>
      <c r="B336" s="83" t="s">
        <v>235</v>
      </c>
      <c r="C336" s="84" t="s">
        <v>70</v>
      </c>
      <c r="D336" s="84" t="s">
        <v>62</v>
      </c>
      <c r="E336" s="86" t="s">
        <v>98</v>
      </c>
      <c r="F336" s="81"/>
      <c r="G336" s="166">
        <f t="shared" si="56"/>
        <v>50</v>
      </c>
      <c r="H336" s="166">
        <f t="shared" si="56"/>
        <v>50</v>
      </c>
      <c r="I336" s="166">
        <f t="shared" si="54"/>
        <v>0</v>
      </c>
      <c r="J336" s="165">
        <f t="shared" si="55"/>
        <v>100</v>
      </c>
    </row>
    <row r="337" spans="1:10" s="11" customFormat="1" ht="22.5">
      <c r="A337" s="82" t="s">
        <v>132</v>
      </c>
      <c r="B337" s="83" t="s">
        <v>235</v>
      </c>
      <c r="C337" s="84" t="s">
        <v>70</v>
      </c>
      <c r="D337" s="84" t="s">
        <v>62</v>
      </c>
      <c r="E337" s="86" t="s">
        <v>98</v>
      </c>
      <c r="F337" s="81">
        <v>726</v>
      </c>
      <c r="G337" s="166">
        <v>50</v>
      </c>
      <c r="H337" s="166">
        <v>50</v>
      </c>
      <c r="I337" s="166">
        <f t="shared" si="54"/>
        <v>0</v>
      </c>
      <c r="J337" s="165">
        <f t="shared" si="55"/>
        <v>100</v>
      </c>
    </row>
    <row r="338" spans="1:10" s="11" customFormat="1" ht="31.5" customHeight="1">
      <c r="A338" s="79" t="s">
        <v>332</v>
      </c>
      <c r="B338" s="77" t="s">
        <v>236</v>
      </c>
      <c r="C338" s="80"/>
      <c r="D338" s="80"/>
      <c r="E338" s="88"/>
      <c r="F338" s="76"/>
      <c r="G338" s="163">
        <f>G339+G357+G352</f>
        <v>141.6</v>
      </c>
      <c r="H338" s="163">
        <f>H339+H357+H352</f>
        <v>126.69999999999999</v>
      </c>
      <c r="I338" s="163">
        <f t="shared" si="54"/>
        <v>14.900000000000006</v>
      </c>
      <c r="J338" s="164">
        <f t="shared" si="55"/>
        <v>89.477401129943502</v>
      </c>
    </row>
    <row r="339" spans="1:10" s="11" customFormat="1" ht="16.149999999999999" customHeight="1">
      <c r="A339" s="79" t="s">
        <v>7</v>
      </c>
      <c r="B339" s="77" t="s">
        <v>236</v>
      </c>
      <c r="C339" s="80" t="s">
        <v>65</v>
      </c>
      <c r="D339" s="80" t="s">
        <v>33</v>
      </c>
      <c r="E339" s="86"/>
      <c r="F339" s="81"/>
      <c r="G339" s="163">
        <f>G340+G344+G348</f>
        <v>100.5</v>
      </c>
      <c r="H339" s="163">
        <f>H340+H344+H348</f>
        <v>85.6</v>
      </c>
      <c r="I339" s="163">
        <f t="shared" si="54"/>
        <v>14.900000000000006</v>
      </c>
      <c r="J339" s="164">
        <f t="shared" si="55"/>
        <v>85.174129353233823</v>
      </c>
    </row>
    <row r="340" spans="1:10" s="11" customFormat="1" ht="14.25" customHeight="1">
      <c r="A340" s="82" t="s">
        <v>8</v>
      </c>
      <c r="B340" s="83" t="s">
        <v>236</v>
      </c>
      <c r="C340" s="84" t="s">
        <v>65</v>
      </c>
      <c r="D340" s="84" t="s">
        <v>62</v>
      </c>
      <c r="E340" s="86"/>
      <c r="F340" s="81"/>
      <c r="G340" s="166">
        <f t="shared" ref="G340:H342" si="57">G341</f>
        <v>19.200000000000003</v>
      </c>
      <c r="H340" s="166">
        <f t="shared" si="57"/>
        <v>19.2</v>
      </c>
      <c r="I340" s="166">
        <f t="shared" si="54"/>
        <v>0</v>
      </c>
      <c r="J340" s="165">
        <f t="shared" si="55"/>
        <v>99.999999999999972</v>
      </c>
    </row>
    <row r="341" spans="1:10" s="11" customFormat="1" ht="21.75" customHeight="1">
      <c r="A341" s="85" t="s">
        <v>93</v>
      </c>
      <c r="B341" s="83" t="s">
        <v>236</v>
      </c>
      <c r="C341" s="84" t="s">
        <v>65</v>
      </c>
      <c r="D341" s="84" t="s">
        <v>62</v>
      </c>
      <c r="E341" s="86" t="s">
        <v>94</v>
      </c>
      <c r="F341" s="81"/>
      <c r="G341" s="166">
        <f t="shared" si="57"/>
        <v>19.200000000000003</v>
      </c>
      <c r="H341" s="166">
        <f t="shared" si="57"/>
        <v>19.2</v>
      </c>
      <c r="I341" s="166">
        <f t="shared" si="54"/>
        <v>0</v>
      </c>
      <c r="J341" s="165">
        <f t="shared" si="55"/>
        <v>99.999999999999972</v>
      </c>
    </row>
    <row r="342" spans="1:10" s="11" customFormat="1" ht="13.5" customHeight="1">
      <c r="A342" s="85" t="s">
        <v>97</v>
      </c>
      <c r="B342" s="83" t="s">
        <v>236</v>
      </c>
      <c r="C342" s="84" t="s">
        <v>65</v>
      </c>
      <c r="D342" s="84" t="s">
        <v>62</v>
      </c>
      <c r="E342" s="86" t="s">
        <v>98</v>
      </c>
      <c r="F342" s="81"/>
      <c r="G342" s="166">
        <f t="shared" si="57"/>
        <v>19.200000000000003</v>
      </c>
      <c r="H342" s="166">
        <f t="shared" si="57"/>
        <v>19.2</v>
      </c>
      <c r="I342" s="166">
        <f t="shared" si="54"/>
        <v>0</v>
      </c>
      <c r="J342" s="165">
        <f t="shared" si="55"/>
        <v>99.999999999999972</v>
      </c>
    </row>
    <row r="343" spans="1:10" s="11" customFormat="1" ht="22.5">
      <c r="A343" s="82" t="s">
        <v>131</v>
      </c>
      <c r="B343" s="83" t="s">
        <v>236</v>
      </c>
      <c r="C343" s="84" t="s">
        <v>65</v>
      </c>
      <c r="D343" s="84" t="s">
        <v>62</v>
      </c>
      <c r="E343" s="86" t="s">
        <v>98</v>
      </c>
      <c r="F343" s="81">
        <v>725</v>
      </c>
      <c r="G343" s="166">
        <f>21.1-1.9</f>
        <v>19.200000000000003</v>
      </c>
      <c r="H343" s="166">
        <v>19.2</v>
      </c>
      <c r="I343" s="166">
        <f t="shared" si="54"/>
        <v>0</v>
      </c>
      <c r="J343" s="165">
        <f t="shared" si="55"/>
        <v>99.999999999999972</v>
      </c>
    </row>
    <row r="344" spans="1:10" s="11" customFormat="1" ht="11.25" customHeight="1">
      <c r="A344" s="82" t="s">
        <v>349</v>
      </c>
      <c r="B344" s="83" t="s">
        <v>236</v>
      </c>
      <c r="C344" s="84" t="s">
        <v>65</v>
      </c>
      <c r="D344" s="84" t="s">
        <v>63</v>
      </c>
      <c r="E344" s="86"/>
      <c r="F344" s="81"/>
      <c r="G344" s="166">
        <f t="shared" ref="G344:H346" si="58">G345</f>
        <v>65.5</v>
      </c>
      <c r="H344" s="166">
        <f t="shared" si="58"/>
        <v>50.6</v>
      </c>
      <c r="I344" s="166">
        <f t="shared" si="54"/>
        <v>14.899999999999999</v>
      </c>
      <c r="J344" s="165">
        <f t="shared" si="55"/>
        <v>77.251908396946561</v>
      </c>
    </row>
    <row r="345" spans="1:10" s="11" customFormat="1" ht="24.6" customHeight="1">
      <c r="A345" s="85" t="s">
        <v>93</v>
      </c>
      <c r="B345" s="83" t="s">
        <v>236</v>
      </c>
      <c r="C345" s="84" t="s">
        <v>65</v>
      </c>
      <c r="D345" s="84" t="s">
        <v>63</v>
      </c>
      <c r="E345" s="86" t="s">
        <v>94</v>
      </c>
      <c r="F345" s="81"/>
      <c r="G345" s="166">
        <f t="shared" si="58"/>
        <v>65.5</v>
      </c>
      <c r="H345" s="166">
        <f t="shared" si="58"/>
        <v>50.6</v>
      </c>
      <c r="I345" s="166">
        <f t="shared" si="54"/>
        <v>14.899999999999999</v>
      </c>
      <c r="J345" s="165">
        <f t="shared" si="55"/>
        <v>77.251908396946561</v>
      </c>
    </row>
    <row r="346" spans="1:10" s="11" customFormat="1" ht="12.75" customHeight="1">
      <c r="A346" s="85" t="s">
        <v>97</v>
      </c>
      <c r="B346" s="83" t="s">
        <v>236</v>
      </c>
      <c r="C346" s="84" t="s">
        <v>65</v>
      </c>
      <c r="D346" s="84" t="s">
        <v>63</v>
      </c>
      <c r="E346" s="86" t="s">
        <v>98</v>
      </c>
      <c r="F346" s="81"/>
      <c r="G346" s="166">
        <f t="shared" si="58"/>
        <v>65.5</v>
      </c>
      <c r="H346" s="166">
        <f t="shared" si="58"/>
        <v>50.6</v>
      </c>
      <c r="I346" s="166">
        <f t="shared" si="54"/>
        <v>14.899999999999999</v>
      </c>
      <c r="J346" s="165">
        <f t="shared" si="55"/>
        <v>77.251908396946561</v>
      </c>
    </row>
    <row r="347" spans="1:10" s="11" customFormat="1" ht="22.5">
      <c r="A347" s="82" t="s">
        <v>131</v>
      </c>
      <c r="B347" s="83" t="s">
        <v>236</v>
      </c>
      <c r="C347" s="84" t="s">
        <v>65</v>
      </c>
      <c r="D347" s="84" t="s">
        <v>63</v>
      </c>
      <c r="E347" s="86" t="s">
        <v>98</v>
      </c>
      <c r="F347" s="81">
        <v>725</v>
      </c>
      <c r="G347" s="166">
        <f>57.8+7.7</f>
        <v>65.5</v>
      </c>
      <c r="H347" s="166">
        <v>50.6</v>
      </c>
      <c r="I347" s="166">
        <f t="shared" si="54"/>
        <v>14.899999999999999</v>
      </c>
      <c r="J347" s="165">
        <f t="shared" si="55"/>
        <v>77.251908396946561</v>
      </c>
    </row>
    <row r="348" spans="1:10" s="11" customFormat="1" ht="16.149999999999999" customHeight="1">
      <c r="A348" s="82" t="s">
        <v>302</v>
      </c>
      <c r="B348" s="83" t="s">
        <v>236</v>
      </c>
      <c r="C348" s="84" t="s">
        <v>65</v>
      </c>
      <c r="D348" s="84" t="s">
        <v>66</v>
      </c>
      <c r="E348" s="86"/>
      <c r="F348" s="81"/>
      <c r="G348" s="166">
        <f t="shared" ref="G348:H350" si="59">G349</f>
        <v>15.8</v>
      </c>
      <c r="H348" s="166">
        <f t="shared" si="59"/>
        <v>15.8</v>
      </c>
      <c r="I348" s="166">
        <f t="shared" si="54"/>
        <v>0</v>
      </c>
      <c r="J348" s="165">
        <f t="shared" si="55"/>
        <v>100</v>
      </c>
    </row>
    <row r="349" spans="1:10" s="11" customFormat="1" ht="28.15" customHeight="1">
      <c r="A349" s="85" t="s">
        <v>93</v>
      </c>
      <c r="B349" s="83" t="s">
        <v>236</v>
      </c>
      <c r="C349" s="84" t="s">
        <v>65</v>
      </c>
      <c r="D349" s="84" t="s">
        <v>66</v>
      </c>
      <c r="E349" s="86" t="s">
        <v>94</v>
      </c>
      <c r="F349" s="81"/>
      <c r="G349" s="166">
        <f t="shared" si="59"/>
        <v>15.8</v>
      </c>
      <c r="H349" s="166">
        <f t="shared" si="59"/>
        <v>15.8</v>
      </c>
      <c r="I349" s="166">
        <f t="shared" si="54"/>
        <v>0</v>
      </c>
      <c r="J349" s="165">
        <f t="shared" si="55"/>
        <v>100</v>
      </c>
    </row>
    <row r="350" spans="1:10" s="11" customFormat="1" ht="14.25" customHeight="1">
      <c r="A350" s="85" t="s">
        <v>97</v>
      </c>
      <c r="B350" s="83" t="s">
        <v>236</v>
      </c>
      <c r="C350" s="84" t="s">
        <v>65</v>
      </c>
      <c r="D350" s="84" t="s">
        <v>66</v>
      </c>
      <c r="E350" s="86" t="s">
        <v>98</v>
      </c>
      <c r="F350" s="81"/>
      <c r="G350" s="166">
        <f t="shared" si="59"/>
        <v>15.8</v>
      </c>
      <c r="H350" s="166">
        <f t="shared" si="59"/>
        <v>15.8</v>
      </c>
      <c r="I350" s="166">
        <f t="shared" si="54"/>
        <v>0</v>
      </c>
      <c r="J350" s="165">
        <f t="shared" si="55"/>
        <v>100</v>
      </c>
    </row>
    <row r="351" spans="1:10" s="11" customFormat="1" ht="22.5">
      <c r="A351" s="82" t="s">
        <v>131</v>
      </c>
      <c r="B351" s="83" t="s">
        <v>236</v>
      </c>
      <c r="C351" s="84" t="s">
        <v>65</v>
      </c>
      <c r="D351" s="84" t="s">
        <v>66</v>
      </c>
      <c r="E351" s="86" t="s">
        <v>98</v>
      </c>
      <c r="F351" s="81">
        <v>725</v>
      </c>
      <c r="G351" s="166">
        <v>15.8</v>
      </c>
      <c r="H351" s="166">
        <v>15.8</v>
      </c>
      <c r="I351" s="166">
        <f t="shared" si="54"/>
        <v>0</v>
      </c>
      <c r="J351" s="165">
        <f t="shared" si="55"/>
        <v>100</v>
      </c>
    </row>
    <row r="352" spans="1:10" s="58" customFormat="1" ht="12" customHeight="1">
      <c r="A352" s="89" t="s">
        <v>120</v>
      </c>
      <c r="B352" s="77" t="s">
        <v>236</v>
      </c>
      <c r="C352" s="80" t="s">
        <v>69</v>
      </c>
      <c r="D352" s="80" t="s">
        <v>33</v>
      </c>
      <c r="E352" s="88"/>
      <c r="F352" s="76"/>
      <c r="G352" s="163">
        <f t="shared" ref="G352:H355" si="60">G353</f>
        <v>20</v>
      </c>
      <c r="H352" s="163">
        <f t="shared" si="60"/>
        <v>20</v>
      </c>
      <c r="I352" s="163">
        <f t="shared" si="54"/>
        <v>0</v>
      </c>
      <c r="J352" s="164">
        <f t="shared" si="55"/>
        <v>100</v>
      </c>
    </row>
    <row r="353" spans="1:10" s="11" customFormat="1" ht="12" customHeight="1">
      <c r="A353" s="82" t="s">
        <v>11</v>
      </c>
      <c r="B353" s="83" t="s">
        <v>236</v>
      </c>
      <c r="C353" s="84" t="s">
        <v>69</v>
      </c>
      <c r="D353" s="84" t="s">
        <v>62</v>
      </c>
      <c r="E353" s="86"/>
      <c r="F353" s="81"/>
      <c r="G353" s="166">
        <f t="shared" si="60"/>
        <v>20</v>
      </c>
      <c r="H353" s="166">
        <f t="shared" si="60"/>
        <v>20</v>
      </c>
      <c r="I353" s="166">
        <f t="shared" si="54"/>
        <v>0</v>
      </c>
      <c r="J353" s="165">
        <f t="shared" si="55"/>
        <v>100</v>
      </c>
    </row>
    <row r="354" spans="1:10" s="11" customFormat="1" ht="22.5" customHeight="1">
      <c r="A354" s="85" t="s">
        <v>93</v>
      </c>
      <c r="B354" s="83" t="s">
        <v>236</v>
      </c>
      <c r="C354" s="84" t="s">
        <v>69</v>
      </c>
      <c r="D354" s="84" t="s">
        <v>62</v>
      </c>
      <c r="E354" s="86" t="s">
        <v>94</v>
      </c>
      <c r="F354" s="81"/>
      <c r="G354" s="166">
        <f t="shared" si="60"/>
        <v>20</v>
      </c>
      <c r="H354" s="166">
        <f t="shared" si="60"/>
        <v>20</v>
      </c>
      <c r="I354" s="166">
        <f t="shared" si="54"/>
        <v>0</v>
      </c>
      <c r="J354" s="165">
        <f t="shared" si="55"/>
        <v>100</v>
      </c>
    </row>
    <row r="355" spans="1:10" s="11" customFormat="1" ht="12" customHeight="1">
      <c r="A355" s="85" t="s">
        <v>97</v>
      </c>
      <c r="B355" s="83" t="s">
        <v>236</v>
      </c>
      <c r="C355" s="84" t="s">
        <v>69</v>
      </c>
      <c r="D355" s="84" t="s">
        <v>62</v>
      </c>
      <c r="E355" s="86" t="s">
        <v>98</v>
      </c>
      <c r="F355" s="81"/>
      <c r="G355" s="166">
        <f t="shared" si="60"/>
        <v>20</v>
      </c>
      <c r="H355" s="166">
        <f t="shared" si="60"/>
        <v>20</v>
      </c>
      <c r="I355" s="166">
        <f t="shared" si="54"/>
        <v>0</v>
      </c>
      <c r="J355" s="165">
        <f t="shared" si="55"/>
        <v>100</v>
      </c>
    </row>
    <row r="356" spans="1:10" s="11" customFormat="1" ht="22.5">
      <c r="A356" s="82" t="s">
        <v>132</v>
      </c>
      <c r="B356" s="83" t="s">
        <v>236</v>
      </c>
      <c r="C356" s="84" t="s">
        <v>69</v>
      </c>
      <c r="D356" s="84" t="s">
        <v>62</v>
      </c>
      <c r="E356" s="86" t="s">
        <v>98</v>
      </c>
      <c r="F356" s="81">
        <v>726</v>
      </c>
      <c r="G356" s="166">
        <v>20</v>
      </c>
      <c r="H356" s="166">
        <v>20</v>
      </c>
      <c r="I356" s="166">
        <f t="shared" si="54"/>
        <v>0</v>
      </c>
      <c r="J356" s="165">
        <f t="shared" si="55"/>
        <v>100</v>
      </c>
    </row>
    <row r="357" spans="1:10" s="11" customFormat="1" ht="12.75" customHeight="1">
      <c r="A357" s="79" t="s">
        <v>79</v>
      </c>
      <c r="B357" s="77" t="s">
        <v>236</v>
      </c>
      <c r="C357" s="80" t="s">
        <v>70</v>
      </c>
      <c r="D357" s="80" t="s">
        <v>33</v>
      </c>
      <c r="E357" s="88"/>
      <c r="F357" s="76"/>
      <c r="G357" s="163">
        <f t="shared" ref="G357:H360" si="61">G358</f>
        <v>21.099999999999994</v>
      </c>
      <c r="H357" s="163">
        <f t="shared" si="61"/>
        <v>21.1</v>
      </c>
      <c r="I357" s="163">
        <f t="shared" si="54"/>
        <v>0</v>
      </c>
      <c r="J357" s="164">
        <f t="shared" si="55"/>
        <v>100.00000000000004</v>
      </c>
    </row>
    <row r="358" spans="1:10" s="11" customFormat="1" ht="13.5" customHeight="1">
      <c r="A358" s="82" t="s">
        <v>80</v>
      </c>
      <c r="B358" s="83" t="s">
        <v>236</v>
      </c>
      <c r="C358" s="84" t="s">
        <v>70</v>
      </c>
      <c r="D358" s="84" t="s">
        <v>62</v>
      </c>
      <c r="E358" s="86"/>
      <c r="F358" s="81"/>
      <c r="G358" s="166">
        <f t="shared" si="61"/>
        <v>21.099999999999994</v>
      </c>
      <c r="H358" s="166">
        <f t="shared" si="61"/>
        <v>21.1</v>
      </c>
      <c r="I358" s="166">
        <f t="shared" si="54"/>
        <v>0</v>
      </c>
      <c r="J358" s="165">
        <f t="shared" si="55"/>
        <v>100.00000000000004</v>
      </c>
    </row>
    <row r="359" spans="1:10" s="11" customFormat="1" ht="23.25" customHeight="1">
      <c r="A359" s="85" t="s">
        <v>93</v>
      </c>
      <c r="B359" s="83" t="s">
        <v>236</v>
      </c>
      <c r="C359" s="84" t="s">
        <v>70</v>
      </c>
      <c r="D359" s="84" t="s">
        <v>62</v>
      </c>
      <c r="E359" s="86" t="s">
        <v>94</v>
      </c>
      <c r="F359" s="81"/>
      <c r="G359" s="166">
        <f t="shared" si="61"/>
        <v>21.099999999999994</v>
      </c>
      <c r="H359" s="166">
        <f t="shared" si="61"/>
        <v>21.1</v>
      </c>
      <c r="I359" s="166">
        <f t="shared" si="54"/>
        <v>0</v>
      </c>
      <c r="J359" s="165">
        <f t="shared" si="55"/>
        <v>100.00000000000004</v>
      </c>
    </row>
    <row r="360" spans="1:10" s="11" customFormat="1" ht="11.25" customHeight="1">
      <c r="A360" s="85" t="s">
        <v>97</v>
      </c>
      <c r="B360" s="83" t="s">
        <v>236</v>
      </c>
      <c r="C360" s="84" t="s">
        <v>70</v>
      </c>
      <c r="D360" s="84" t="s">
        <v>62</v>
      </c>
      <c r="E360" s="86" t="s">
        <v>98</v>
      </c>
      <c r="F360" s="81"/>
      <c r="G360" s="166">
        <f t="shared" si="61"/>
        <v>21.099999999999994</v>
      </c>
      <c r="H360" s="166">
        <f t="shared" si="61"/>
        <v>21.1</v>
      </c>
      <c r="I360" s="166">
        <f t="shared" si="54"/>
        <v>0</v>
      </c>
      <c r="J360" s="165">
        <f t="shared" si="55"/>
        <v>100.00000000000004</v>
      </c>
    </row>
    <row r="361" spans="1:10" s="11" customFormat="1" ht="25.5" customHeight="1">
      <c r="A361" s="82" t="s">
        <v>132</v>
      </c>
      <c r="B361" s="83" t="s">
        <v>236</v>
      </c>
      <c r="C361" s="84" t="s">
        <v>70</v>
      </c>
      <c r="D361" s="84" t="s">
        <v>62</v>
      </c>
      <c r="E361" s="86" t="s">
        <v>98</v>
      </c>
      <c r="F361" s="81">
        <v>726</v>
      </c>
      <c r="G361" s="166">
        <f>94.5-73.4</f>
        <v>21.099999999999994</v>
      </c>
      <c r="H361" s="166">
        <v>21.1</v>
      </c>
      <c r="I361" s="166">
        <f t="shared" si="54"/>
        <v>0</v>
      </c>
      <c r="J361" s="165">
        <f t="shared" si="55"/>
        <v>100.00000000000004</v>
      </c>
    </row>
    <row r="362" spans="1:10" s="58" customFormat="1" ht="21">
      <c r="A362" s="79" t="s">
        <v>296</v>
      </c>
      <c r="B362" s="77" t="s">
        <v>297</v>
      </c>
      <c r="C362" s="80"/>
      <c r="D362" s="80"/>
      <c r="E362" s="88"/>
      <c r="F362" s="76"/>
      <c r="G362" s="163">
        <f>G363</f>
        <v>14.9</v>
      </c>
      <c r="H362" s="163">
        <f>H363</f>
        <v>14.9</v>
      </c>
      <c r="I362" s="163">
        <f t="shared" si="54"/>
        <v>0</v>
      </c>
      <c r="J362" s="164">
        <f t="shared" si="55"/>
        <v>100</v>
      </c>
    </row>
    <row r="363" spans="1:10" s="11" customFormat="1" ht="12.75" customHeight="1">
      <c r="A363" s="79" t="s">
        <v>7</v>
      </c>
      <c r="B363" s="77" t="s">
        <v>297</v>
      </c>
      <c r="C363" s="84" t="s">
        <v>65</v>
      </c>
      <c r="D363" s="84" t="s">
        <v>33</v>
      </c>
      <c r="E363" s="86"/>
      <c r="F363" s="81"/>
      <c r="G363" s="166">
        <f>G364+G368</f>
        <v>14.9</v>
      </c>
      <c r="H363" s="166">
        <f>H364+H368</f>
        <v>14.9</v>
      </c>
      <c r="I363" s="166">
        <f t="shared" si="54"/>
        <v>0</v>
      </c>
      <c r="J363" s="165">
        <f t="shared" si="55"/>
        <v>100</v>
      </c>
    </row>
    <row r="364" spans="1:10" s="11" customFormat="1" ht="10.5" customHeight="1">
      <c r="A364" s="82" t="s">
        <v>8</v>
      </c>
      <c r="B364" s="83" t="s">
        <v>297</v>
      </c>
      <c r="C364" s="84" t="s">
        <v>65</v>
      </c>
      <c r="D364" s="84" t="s">
        <v>62</v>
      </c>
      <c r="E364" s="86"/>
      <c r="F364" s="81"/>
      <c r="G364" s="166">
        <f t="shared" ref="G364:H366" si="62">G365</f>
        <v>5.9</v>
      </c>
      <c r="H364" s="166">
        <f t="shared" si="62"/>
        <v>5.9</v>
      </c>
      <c r="I364" s="166">
        <f t="shared" si="54"/>
        <v>0</v>
      </c>
      <c r="J364" s="165">
        <f t="shared" si="55"/>
        <v>100</v>
      </c>
    </row>
    <row r="365" spans="1:10" s="11" customFormat="1" ht="22.5" customHeight="1">
      <c r="A365" s="85" t="s">
        <v>93</v>
      </c>
      <c r="B365" s="83" t="s">
        <v>297</v>
      </c>
      <c r="C365" s="84" t="s">
        <v>65</v>
      </c>
      <c r="D365" s="84" t="s">
        <v>62</v>
      </c>
      <c r="E365" s="86" t="s">
        <v>94</v>
      </c>
      <c r="F365" s="81"/>
      <c r="G365" s="166">
        <f t="shared" si="62"/>
        <v>5.9</v>
      </c>
      <c r="H365" s="166">
        <f t="shared" si="62"/>
        <v>5.9</v>
      </c>
      <c r="I365" s="166">
        <f t="shared" si="54"/>
        <v>0</v>
      </c>
      <c r="J365" s="165">
        <f t="shared" si="55"/>
        <v>100</v>
      </c>
    </row>
    <row r="366" spans="1:10" s="11" customFormat="1" ht="22.5">
      <c r="A366" s="85" t="s">
        <v>97</v>
      </c>
      <c r="B366" s="83" t="s">
        <v>297</v>
      </c>
      <c r="C366" s="84" t="s">
        <v>65</v>
      </c>
      <c r="D366" s="84" t="s">
        <v>62</v>
      </c>
      <c r="E366" s="86" t="s">
        <v>98</v>
      </c>
      <c r="F366" s="81"/>
      <c r="G366" s="166">
        <f t="shared" si="62"/>
        <v>5.9</v>
      </c>
      <c r="H366" s="166">
        <f t="shared" si="62"/>
        <v>5.9</v>
      </c>
      <c r="I366" s="166">
        <f t="shared" si="54"/>
        <v>0</v>
      </c>
      <c r="J366" s="165">
        <f t="shared" si="55"/>
        <v>100</v>
      </c>
    </row>
    <row r="367" spans="1:10" s="11" customFormat="1" ht="12" customHeight="1">
      <c r="A367" s="82" t="s">
        <v>131</v>
      </c>
      <c r="B367" s="83" t="s">
        <v>297</v>
      </c>
      <c r="C367" s="84" t="s">
        <v>65</v>
      </c>
      <c r="D367" s="84" t="s">
        <v>62</v>
      </c>
      <c r="E367" s="86" t="s">
        <v>98</v>
      </c>
      <c r="F367" s="81">
        <v>725</v>
      </c>
      <c r="G367" s="166">
        <f>10-4.1</f>
        <v>5.9</v>
      </c>
      <c r="H367" s="166">
        <v>5.9</v>
      </c>
      <c r="I367" s="166">
        <f t="shared" si="54"/>
        <v>0</v>
      </c>
      <c r="J367" s="165">
        <f t="shared" si="55"/>
        <v>100</v>
      </c>
    </row>
    <row r="368" spans="1:10" s="11" customFormat="1" ht="22.5">
      <c r="A368" s="82" t="s">
        <v>349</v>
      </c>
      <c r="B368" s="83" t="s">
        <v>297</v>
      </c>
      <c r="C368" s="84" t="s">
        <v>65</v>
      </c>
      <c r="D368" s="84" t="s">
        <v>63</v>
      </c>
      <c r="E368" s="86"/>
      <c r="F368" s="81"/>
      <c r="G368" s="166">
        <f t="shared" ref="G368:H370" si="63">G369</f>
        <v>9</v>
      </c>
      <c r="H368" s="166">
        <f t="shared" si="63"/>
        <v>9</v>
      </c>
      <c r="I368" s="166">
        <f t="shared" si="54"/>
        <v>0</v>
      </c>
      <c r="J368" s="165">
        <f t="shared" si="55"/>
        <v>100</v>
      </c>
    </row>
    <row r="369" spans="1:10" s="11" customFormat="1" ht="22.5">
      <c r="A369" s="85" t="s">
        <v>93</v>
      </c>
      <c r="B369" s="83" t="s">
        <v>297</v>
      </c>
      <c r="C369" s="84" t="s">
        <v>65</v>
      </c>
      <c r="D369" s="84" t="s">
        <v>63</v>
      </c>
      <c r="E369" s="86" t="s">
        <v>94</v>
      </c>
      <c r="F369" s="81"/>
      <c r="G369" s="166">
        <f t="shared" si="63"/>
        <v>9</v>
      </c>
      <c r="H369" s="166">
        <f t="shared" si="63"/>
        <v>9</v>
      </c>
      <c r="I369" s="166">
        <f t="shared" si="54"/>
        <v>0</v>
      </c>
      <c r="J369" s="165">
        <f t="shared" si="55"/>
        <v>100</v>
      </c>
    </row>
    <row r="370" spans="1:10" s="11" customFormat="1" ht="22.5">
      <c r="A370" s="85" t="s">
        <v>97</v>
      </c>
      <c r="B370" s="83" t="s">
        <v>297</v>
      </c>
      <c r="C370" s="84" t="s">
        <v>65</v>
      </c>
      <c r="D370" s="84" t="s">
        <v>63</v>
      </c>
      <c r="E370" s="86" t="s">
        <v>98</v>
      </c>
      <c r="F370" s="81"/>
      <c r="G370" s="166">
        <f t="shared" si="63"/>
        <v>9</v>
      </c>
      <c r="H370" s="166">
        <f t="shared" si="63"/>
        <v>9</v>
      </c>
      <c r="I370" s="166">
        <f t="shared" si="54"/>
        <v>0</v>
      </c>
      <c r="J370" s="165">
        <f t="shared" si="55"/>
        <v>100</v>
      </c>
    </row>
    <row r="371" spans="1:10" s="11" customFormat="1" ht="22.5">
      <c r="A371" s="82" t="s">
        <v>131</v>
      </c>
      <c r="B371" s="83" t="s">
        <v>297</v>
      </c>
      <c r="C371" s="84" t="s">
        <v>65</v>
      </c>
      <c r="D371" s="84" t="s">
        <v>63</v>
      </c>
      <c r="E371" s="86" t="s">
        <v>98</v>
      </c>
      <c r="F371" s="81">
        <v>725</v>
      </c>
      <c r="G371" s="166">
        <f>25-16</f>
        <v>9</v>
      </c>
      <c r="H371" s="166">
        <v>9</v>
      </c>
      <c r="I371" s="166">
        <f t="shared" si="54"/>
        <v>0</v>
      </c>
      <c r="J371" s="165">
        <f t="shared" si="55"/>
        <v>100</v>
      </c>
    </row>
    <row r="372" spans="1:10" s="58" customFormat="1" ht="13.5" customHeight="1">
      <c r="A372" s="79" t="s">
        <v>370</v>
      </c>
      <c r="B372" s="77" t="s">
        <v>371</v>
      </c>
      <c r="C372" s="88"/>
      <c r="D372" s="80"/>
      <c r="E372" s="88"/>
      <c r="F372" s="76"/>
      <c r="G372" s="163">
        <f t="shared" ref="G372:H376" si="64">G373</f>
        <v>165.3</v>
      </c>
      <c r="H372" s="163">
        <f t="shared" si="64"/>
        <v>164.7</v>
      </c>
      <c r="I372" s="163">
        <f t="shared" si="54"/>
        <v>0.60000000000002274</v>
      </c>
      <c r="J372" s="164">
        <f t="shared" si="55"/>
        <v>99.637023593466409</v>
      </c>
    </row>
    <row r="373" spans="1:10" s="58" customFormat="1" ht="13.5" customHeight="1">
      <c r="A373" s="79" t="s">
        <v>7</v>
      </c>
      <c r="B373" s="77" t="s">
        <v>371</v>
      </c>
      <c r="C373" s="80" t="s">
        <v>65</v>
      </c>
      <c r="D373" s="80" t="s">
        <v>33</v>
      </c>
      <c r="E373" s="88"/>
      <c r="F373" s="76"/>
      <c r="G373" s="163">
        <f t="shared" si="64"/>
        <v>165.3</v>
      </c>
      <c r="H373" s="163">
        <f t="shared" si="64"/>
        <v>164.7</v>
      </c>
      <c r="I373" s="163">
        <f t="shared" si="54"/>
        <v>0.60000000000002274</v>
      </c>
      <c r="J373" s="164">
        <f t="shared" si="55"/>
        <v>99.637023593466409</v>
      </c>
    </row>
    <row r="374" spans="1:10" s="11" customFormat="1" ht="13.5" customHeight="1">
      <c r="A374" s="82" t="s">
        <v>349</v>
      </c>
      <c r="B374" s="83" t="s">
        <v>371</v>
      </c>
      <c r="C374" s="84" t="s">
        <v>65</v>
      </c>
      <c r="D374" s="84" t="s">
        <v>63</v>
      </c>
      <c r="E374" s="86"/>
      <c r="F374" s="81"/>
      <c r="G374" s="166">
        <f t="shared" si="64"/>
        <v>165.3</v>
      </c>
      <c r="H374" s="166">
        <f t="shared" si="64"/>
        <v>164.7</v>
      </c>
      <c r="I374" s="166">
        <f t="shared" si="54"/>
        <v>0.60000000000002274</v>
      </c>
      <c r="J374" s="165">
        <f t="shared" si="55"/>
        <v>99.637023593466409</v>
      </c>
    </row>
    <row r="375" spans="1:10" s="11" customFormat="1" ht="22.5">
      <c r="A375" s="85" t="s">
        <v>93</v>
      </c>
      <c r="B375" s="83" t="s">
        <v>371</v>
      </c>
      <c r="C375" s="84" t="s">
        <v>65</v>
      </c>
      <c r="D375" s="84" t="s">
        <v>63</v>
      </c>
      <c r="E375" s="86" t="s">
        <v>94</v>
      </c>
      <c r="F375" s="81"/>
      <c r="G375" s="166">
        <f t="shared" si="64"/>
        <v>165.3</v>
      </c>
      <c r="H375" s="166">
        <f t="shared" si="64"/>
        <v>164.7</v>
      </c>
      <c r="I375" s="166">
        <f t="shared" si="54"/>
        <v>0.60000000000002274</v>
      </c>
      <c r="J375" s="165">
        <f t="shared" si="55"/>
        <v>99.637023593466409</v>
      </c>
    </row>
    <row r="376" spans="1:10" s="11" customFormat="1" ht="22.5">
      <c r="A376" s="85" t="s">
        <v>97</v>
      </c>
      <c r="B376" s="83" t="s">
        <v>371</v>
      </c>
      <c r="C376" s="84" t="s">
        <v>65</v>
      </c>
      <c r="D376" s="84" t="s">
        <v>63</v>
      </c>
      <c r="E376" s="86" t="s">
        <v>98</v>
      </c>
      <c r="F376" s="81"/>
      <c r="G376" s="166">
        <f t="shared" si="64"/>
        <v>165.3</v>
      </c>
      <c r="H376" s="166">
        <f t="shared" si="64"/>
        <v>164.7</v>
      </c>
      <c r="I376" s="166">
        <f t="shared" si="54"/>
        <v>0.60000000000002274</v>
      </c>
      <c r="J376" s="165">
        <f t="shared" si="55"/>
        <v>99.637023593466409</v>
      </c>
    </row>
    <row r="377" spans="1:10" s="11" customFormat="1" ht="22.5">
      <c r="A377" s="82" t="s">
        <v>131</v>
      </c>
      <c r="B377" s="83" t="s">
        <v>371</v>
      </c>
      <c r="C377" s="84" t="s">
        <v>65</v>
      </c>
      <c r="D377" s="84" t="s">
        <v>63</v>
      </c>
      <c r="E377" s="86" t="s">
        <v>98</v>
      </c>
      <c r="F377" s="81">
        <v>725</v>
      </c>
      <c r="G377" s="166">
        <f>123+42.3</f>
        <v>165.3</v>
      </c>
      <c r="H377" s="166">
        <v>164.7</v>
      </c>
      <c r="I377" s="166">
        <f t="shared" si="54"/>
        <v>0.60000000000002274</v>
      </c>
      <c r="J377" s="165">
        <f t="shared" si="55"/>
        <v>99.637023593466409</v>
      </c>
    </row>
    <row r="378" spans="1:10" s="58" customFormat="1" ht="21">
      <c r="A378" s="79" t="s">
        <v>372</v>
      </c>
      <c r="B378" s="77" t="s">
        <v>373</v>
      </c>
      <c r="C378" s="80"/>
      <c r="D378" s="80"/>
      <c r="E378" s="88"/>
      <c r="F378" s="76"/>
      <c r="G378" s="163">
        <f t="shared" ref="G378:H382" si="65">G379</f>
        <v>21</v>
      </c>
      <c r="H378" s="163">
        <f t="shared" si="65"/>
        <v>13.6</v>
      </c>
      <c r="I378" s="163">
        <f t="shared" si="54"/>
        <v>7.4</v>
      </c>
      <c r="J378" s="164">
        <f t="shared" si="55"/>
        <v>64.761904761904759</v>
      </c>
    </row>
    <row r="379" spans="1:10" s="58" customFormat="1" ht="21">
      <c r="A379" s="79" t="s">
        <v>79</v>
      </c>
      <c r="B379" s="77" t="s">
        <v>373</v>
      </c>
      <c r="C379" s="80" t="s">
        <v>70</v>
      </c>
      <c r="D379" s="80" t="s">
        <v>33</v>
      </c>
      <c r="E379" s="88"/>
      <c r="F379" s="76"/>
      <c r="G379" s="163">
        <f t="shared" si="65"/>
        <v>21</v>
      </c>
      <c r="H379" s="163">
        <f t="shared" si="65"/>
        <v>13.6</v>
      </c>
      <c r="I379" s="163">
        <f t="shared" si="54"/>
        <v>7.4</v>
      </c>
      <c r="J379" s="164">
        <f t="shared" si="55"/>
        <v>64.761904761904759</v>
      </c>
    </row>
    <row r="380" spans="1:10" s="11" customFormat="1" ht="22.5">
      <c r="A380" s="82" t="s">
        <v>80</v>
      </c>
      <c r="B380" s="83" t="s">
        <v>373</v>
      </c>
      <c r="C380" s="84" t="s">
        <v>70</v>
      </c>
      <c r="D380" s="84" t="s">
        <v>62</v>
      </c>
      <c r="E380" s="86"/>
      <c r="F380" s="81"/>
      <c r="G380" s="166">
        <f t="shared" si="65"/>
        <v>21</v>
      </c>
      <c r="H380" s="166">
        <f t="shared" si="65"/>
        <v>13.6</v>
      </c>
      <c r="I380" s="166">
        <f t="shared" si="54"/>
        <v>7.4</v>
      </c>
      <c r="J380" s="165">
        <f t="shared" si="55"/>
        <v>64.761904761904759</v>
      </c>
    </row>
    <row r="381" spans="1:10" s="58" customFormat="1" ht="22.5">
      <c r="A381" s="85" t="s">
        <v>93</v>
      </c>
      <c r="B381" s="83" t="s">
        <v>373</v>
      </c>
      <c r="C381" s="84" t="s">
        <v>70</v>
      </c>
      <c r="D381" s="84" t="s">
        <v>62</v>
      </c>
      <c r="E381" s="86" t="s">
        <v>94</v>
      </c>
      <c r="F381" s="81"/>
      <c r="G381" s="166">
        <f t="shared" si="65"/>
        <v>21</v>
      </c>
      <c r="H381" s="166">
        <f t="shared" si="65"/>
        <v>13.6</v>
      </c>
      <c r="I381" s="166">
        <f t="shared" si="54"/>
        <v>7.4</v>
      </c>
      <c r="J381" s="165">
        <f t="shared" si="55"/>
        <v>64.761904761904759</v>
      </c>
    </row>
    <row r="382" spans="1:10" s="58" customFormat="1" ht="22.5">
      <c r="A382" s="85" t="s">
        <v>97</v>
      </c>
      <c r="B382" s="83" t="s">
        <v>373</v>
      </c>
      <c r="C382" s="84" t="s">
        <v>70</v>
      </c>
      <c r="D382" s="84" t="s">
        <v>62</v>
      </c>
      <c r="E382" s="86" t="s">
        <v>98</v>
      </c>
      <c r="F382" s="81"/>
      <c r="G382" s="166">
        <f t="shared" si="65"/>
        <v>21</v>
      </c>
      <c r="H382" s="166">
        <f t="shared" si="65"/>
        <v>13.6</v>
      </c>
      <c r="I382" s="166">
        <f t="shared" si="54"/>
        <v>7.4</v>
      </c>
      <c r="J382" s="165">
        <f t="shared" si="55"/>
        <v>64.761904761904759</v>
      </c>
    </row>
    <row r="383" spans="1:10" s="11" customFormat="1" ht="22.5">
      <c r="A383" s="82" t="s">
        <v>132</v>
      </c>
      <c r="B383" s="83" t="s">
        <v>373</v>
      </c>
      <c r="C383" s="84" t="s">
        <v>70</v>
      </c>
      <c r="D383" s="84" t="s">
        <v>62</v>
      </c>
      <c r="E383" s="86" t="s">
        <v>98</v>
      </c>
      <c r="F383" s="81">
        <v>726</v>
      </c>
      <c r="G383" s="166">
        <v>21</v>
      </c>
      <c r="H383" s="166">
        <v>13.6</v>
      </c>
      <c r="I383" s="166">
        <f t="shared" si="54"/>
        <v>7.4</v>
      </c>
      <c r="J383" s="165">
        <f t="shared" si="55"/>
        <v>64.761904761904759</v>
      </c>
    </row>
    <row r="384" spans="1:10" s="11" customFormat="1" ht="20.45" customHeight="1">
      <c r="A384" s="79" t="s">
        <v>674</v>
      </c>
      <c r="B384" s="77" t="s">
        <v>155</v>
      </c>
      <c r="C384" s="80"/>
      <c r="D384" s="80"/>
      <c r="E384" s="86"/>
      <c r="F384" s="81"/>
      <c r="G384" s="163">
        <f>G385+G392+G476+G486+G508+G515</f>
        <v>224086</v>
      </c>
      <c r="H384" s="163">
        <f>H385+H392+H476+H486+H508+H515</f>
        <v>223813.89999999997</v>
      </c>
      <c r="I384" s="163">
        <f t="shared" si="54"/>
        <v>272.10000000003492</v>
      </c>
      <c r="J384" s="164">
        <f t="shared" si="55"/>
        <v>99.878573404853483</v>
      </c>
    </row>
    <row r="385" spans="1:10" s="11" customFormat="1" ht="21.75">
      <c r="A385" s="79" t="s">
        <v>188</v>
      </c>
      <c r="B385" s="77" t="s">
        <v>245</v>
      </c>
      <c r="C385" s="80"/>
      <c r="D385" s="80"/>
      <c r="E385" s="86"/>
      <c r="F385" s="81"/>
      <c r="G385" s="163">
        <f>G387</f>
        <v>25</v>
      </c>
      <c r="H385" s="163">
        <f>H387</f>
        <v>25</v>
      </c>
      <c r="I385" s="163">
        <f t="shared" si="54"/>
        <v>0</v>
      </c>
      <c r="J385" s="164">
        <f t="shared" si="55"/>
        <v>100</v>
      </c>
    </row>
    <row r="386" spans="1:10" s="11" customFormat="1" ht="37.9" customHeight="1">
      <c r="A386" s="79" t="s">
        <v>156</v>
      </c>
      <c r="B386" s="77" t="s">
        <v>246</v>
      </c>
      <c r="C386" s="84"/>
      <c r="D386" s="84"/>
      <c r="E386" s="86"/>
      <c r="F386" s="81"/>
      <c r="G386" s="163">
        <f t="shared" ref="G386:H390" si="66">G387</f>
        <v>25</v>
      </c>
      <c r="H386" s="163">
        <f t="shared" si="66"/>
        <v>25</v>
      </c>
      <c r="I386" s="163">
        <f t="shared" si="54"/>
        <v>0</v>
      </c>
      <c r="J386" s="164">
        <f t="shared" si="55"/>
        <v>100</v>
      </c>
    </row>
    <row r="387" spans="1:10" s="11" customFormat="1">
      <c r="A387" s="79" t="s">
        <v>7</v>
      </c>
      <c r="B387" s="77" t="s">
        <v>246</v>
      </c>
      <c r="C387" s="80" t="s">
        <v>65</v>
      </c>
      <c r="D387" s="80" t="s">
        <v>33</v>
      </c>
      <c r="E387" s="86"/>
      <c r="F387" s="81"/>
      <c r="G387" s="163">
        <f t="shared" si="66"/>
        <v>25</v>
      </c>
      <c r="H387" s="163">
        <f t="shared" si="66"/>
        <v>25</v>
      </c>
      <c r="I387" s="163">
        <f t="shared" si="54"/>
        <v>0</v>
      </c>
      <c r="J387" s="164">
        <f t="shared" si="55"/>
        <v>100</v>
      </c>
    </row>
    <row r="388" spans="1:10" s="11" customFormat="1">
      <c r="A388" s="82" t="s">
        <v>10</v>
      </c>
      <c r="B388" s="83" t="s">
        <v>246</v>
      </c>
      <c r="C388" s="84" t="s">
        <v>65</v>
      </c>
      <c r="D388" s="84" t="s">
        <v>71</v>
      </c>
      <c r="E388" s="86"/>
      <c r="F388" s="81"/>
      <c r="G388" s="166">
        <f t="shared" si="66"/>
        <v>25</v>
      </c>
      <c r="H388" s="166">
        <f t="shared" si="66"/>
        <v>25</v>
      </c>
      <c r="I388" s="166">
        <f t="shared" si="54"/>
        <v>0</v>
      </c>
      <c r="J388" s="165">
        <f t="shared" si="55"/>
        <v>100</v>
      </c>
    </row>
    <row r="389" spans="1:10" s="11" customFormat="1" ht="22.5">
      <c r="A389" s="85" t="s">
        <v>331</v>
      </c>
      <c r="B389" s="83" t="s">
        <v>246</v>
      </c>
      <c r="C389" s="84" t="s">
        <v>65</v>
      </c>
      <c r="D389" s="84" t="s">
        <v>71</v>
      </c>
      <c r="E389" s="86" t="s">
        <v>92</v>
      </c>
      <c r="F389" s="81"/>
      <c r="G389" s="166">
        <f t="shared" si="66"/>
        <v>25</v>
      </c>
      <c r="H389" s="166">
        <f t="shared" si="66"/>
        <v>25</v>
      </c>
      <c r="I389" s="166">
        <f t="shared" si="54"/>
        <v>0</v>
      </c>
      <c r="J389" s="165">
        <f t="shared" si="55"/>
        <v>100</v>
      </c>
    </row>
    <row r="390" spans="1:10" s="11" customFormat="1" ht="22.5">
      <c r="A390" s="85" t="s">
        <v>558</v>
      </c>
      <c r="B390" s="83" t="s">
        <v>246</v>
      </c>
      <c r="C390" s="84" t="s">
        <v>65</v>
      </c>
      <c r="D390" s="84" t="s">
        <v>71</v>
      </c>
      <c r="E390" s="86" t="s">
        <v>89</v>
      </c>
      <c r="F390" s="81"/>
      <c r="G390" s="166">
        <f t="shared" si="66"/>
        <v>25</v>
      </c>
      <c r="H390" s="166">
        <f t="shared" si="66"/>
        <v>25</v>
      </c>
      <c r="I390" s="166">
        <f t="shared" si="54"/>
        <v>0</v>
      </c>
      <c r="J390" s="165">
        <f t="shared" si="55"/>
        <v>100</v>
      </c>
    </row>
    <row r="391" spans="1:10" s="11" customFormat="1" ht="22.5">
      <c r="A391" s="82" t="s">
        <v>131</v>
      </c>
      <c r="B391" s="83" t="s">
        <v>246</v>
      </c>
      <c r="C391" s="84" t="s">
        <v>65</v>
      </c>
      <c r="D391" s="84" t="s">
        <v>71</v>
      </c>
      <c r="E391" s="86" t="s">
        <v>89</v>
      </c>
      <c r="F391" s="81">
        <v>725</v>
      </c>
      <c r="G391" s="166">
        <f>75-50</f>
        <v>25</v>
      </c>
      <c r="H391" s="166">
        <v>25</v>
      </c>
      <c r="I391" s="166">
        <f t="shared" si="54"/>
        <v>0</v>
      </c>
      <c r="J391" s="165">
        <f t="shared" si="55"/>
        <v>100</v>
      </c>
    </row>
    <row r="392" spans="1:10" s="58" customFormat="1" ht="24.6" customHeight="1">
      <c r="A392" s="89" t="s">
        <v>359</v>
      </c>
      <c r="B392" s="88" t="s">
        <v>336</v>
      </c>
      <c r="C392" s="88"/>
      <c r="D392" s="88"/>
      <c r="E392" s="88"/>
      <c r="F392" s="76"/>
      <c r="G392" s="163">
        <f>G413+G419+G434+G4+G53363+G455+G461+G393+G449+G403</f>
        <v>217556.7</v>
      </c>
      <c r="H392" s="163">
        <f>H413+H419+H434+H4+H53363+H455+H461+H393+H449+H403</f>
        <v>217287.09999999998</v>
      </c>
      <c r="I392" s="163">
        <f t="shared" si="54"/>
        <v>269.60000000003492</v>
      </c>
      <c r="J392" s="164">
        <f t="shared" si="55"/>
        <v>99.876078282121384</v>
      </c>
    </row>
    <row r="393" spans="1:10" s="58" customFormat="1" ht="74.25">
      <c r="A393" s="171" t="s">
        <v>553</v>
      </c>
      <c r="B393" s="88" t="s">
        <v>554</v>
      </c>
      <c r="C393" s="88"/>
      <c r="D393" s="88"/>
      <c r="E393" s="88"/>
      <c r="F393" s="76"/>
      <c r="G393" s="163">
        <f>G394</f>
        <v>43</v>
      </c>
      <c r="H393" s="163">
        <f>H394</f>
        <v>20</v>
      </c>
      <c r="I393" s="163">
        <f t="shared" ref="I393:I456" si="67">G393-H393</f>
        <v>23</v>
      </c>
      <c r="J393" s="164">
        <f t="shared" ref="J393:J456" si="68">H393/G393*100</f>
        <v>46.511627906976742</v>
      </c>
    </row>
    <row r="394" spans="1:10" s="58" customFormat="1">
      <c r="A394" s="79" t="s">
        <v>7</v>
      </c>
      <c r="B394" s="88" t="s">
        <v>554</v>
      </c>
      <c r="C394" s="88" t="s">
        <v>65</v>
      </c>
      <c r="D394" s="88" t="s">
        <v>33</v>
      </c>
      <c r="E394" s="88"/>
      <c r="F394" s="76"/>
      <c r="G394" s="163">
        <f>G395+G399</f>
        <v>43</v>
      </c>
      <c r="H394" s="163">
        <f>H395+H399</f>
        <v>20</v>
      </c>
      <c r="I394" s="163">
        <f t="shared" si="67"/>
        <v>23</v>
      </c>
      <c r="J394" s="164">
        <f t="shared" si="68"/>
        <v>46.511627906976742</v>
      </c>
    </row>
    <row r="395" spans="1:10" s="58" customFormat="1">
      <c r="A395" s="85" t="s">
        <v>8</v>
      </c>
      <c r="B395" s="86" t="s">
        <v>554</v>
      </c>
      <c r="C395" s="86" t="s">
        <v>65</v>
      </c>
      <c r="D395" s="86" t="s">
        <v>62</v>
      </c>
      <c r="E395" s="86"/>
      <c r="F395" s="81"/>
      <c r="G395" s="166">
        <f t="shared" ref="G395:H397" si="69">G396</f>
        <v>40.700000000000003</v>
      </c>
      <c r="H395" s="166">
        <f t="shared" si="69"/>
        <v>20</v>
      </c>
      <c r="I395" s="166">
        <f t="shared" si="67"/>
        <v>20.700000000000003</v>
      </c>
      <c r="J395" s="165">
        <f t="shared" si="68"/>
        <v>49.140049140049136</v>
      </c>
    </row>
    <row r="396" spans="1:10" s="58" customFormat="1" ht="22.5">
      <c r="A396" s="85" t="s">
        <v>93</v>
      </c>
      <c r="B396" s="86" t="s">
        <v>554</v>
      </c>
      <c r="C396" s="86" t="s">
        <v>65</v>
      </c>
      <c r="D396" s="86" t="s">
        <v>62</v>
      </c>
      <c r="E396" s="86" t="s">
        <v>94</v>
      </c>
      <c r="F396" s="81"/>
      <c r="G396" s="166">
        <f t="shared" si="69"/>
        <v>40.700000000000003</v>
      </c>
      <c r="H396" s="166">
        <f t="shared" si="69"/>
        <v>20</v>
      </c>
      <c r="I396" s="166">
        <f t="shared" si="67"/>
        <v>20.700000000000003</v>
      </c>
      <c r="J396" s="165">
        <f t="shared" si="68"/>
        <v>49.140049140049136</v>
      </c>
    </row>
    <row r="397" spans="1:10" s="58" customFormat="1">
      <c r="A397" s="85" t="s">
        <v>97</v>
      </c>
      <c r="B397" s="86" t="s">
        <v>554</v>
      </c>
      <c r="C397" s="86" t="s">
        <v>65</v>
      </c>
      <c r="D397" s="86" t="s">
        <v>62</v>
      </c>
      <c r="E397" s="86" t="s">
        <v>98</v>
      </c>
      <c r="F397" s="81"/>
      <c r="G397" s="166">
        <f t="shared" si="69"/>
        <v>40.700000000000003</v>
      </c>
      <c r="H397" s="166">
        <f t="shared" si="69"/>
        <v>20</v>
      </c>
      <c r="I397" s="166">
        <f t="shared" si="67"/>
        <v>20.700000000000003</v>
      </c>
      <c r="J397" s="165">
        <f t="shared" si="68"/>
        <v>49.140049140049136</v>
      </c>
    </row>
    <row r="398" spans="1:10" s="58" customFormat="1" ht="22.5">
      <c r="A398" s="82" t="s">
        <v>131</v>
      </c>
      <c r="B398" s="86" t="s">
        <v>554</v>
      </c>
      <c r="C398" s="86" t="s">
        <v>65</v>
      </c>
      <c r="D398" s="86" t="s">
        <v>62</v>
      </c>
      <c r="E398" s="86" t="s">
        <v>98</v>
      </c>
      <c r="F398" s="81">
        <v>725</v>
      </c>
      <c r="G398" s="166">
        <f>40.7</f>
        <v>40.700000000000003</v>
      </c>
      <c r="H398" s="166">
        <v>20</v>
      </c>
      <c r="I398" s="166">
        <f t="shared" si="67"/>
        <v>20.700000000000003</v>
      </c>
      <c r="J398" s="165">
        <f t="shared" si="68"/>
        <v>49.140049140049136</v>
      </c>
    </row>
    <row r="399" spans="1:10" s="58" customFormat="1">
      <c r="A399" s="85" t="s">
        <v>9</v>
      </c>
      <c r="B399" s="86" t="s">
        <v>554</v>
      </c>
      <c r="C399" s="86" t="s">
        <v>65</v>
      </c>
      <c r="D399" s="86" t="s">
        <v>63</v>
      </c>
      <c r="E399" s="86"/>
      <c r="F399" s="81"/>
      <c r="G399" s="166">
        <f t="shared" ref="G399:H401" si="70">G400</f>
        <v>2.2999999999999972</v>
      </c>
      <c r="H399" s="166">
        <f t="shared" si="70"/>
        <v>0</v>
      </c>
      <c r="I399" s="166">
        <f t="shared" si="67"/>
        <v>2.2999999999999972</v>
      </c>
      <c r="J399" s="165">
        <f t="shared" si="68"/>
        <v>0</v>
      </c>
    </row>
    <row r="400" spans="1:10" s="58" customFormat="1" ht="22.5">
      <c r="A400" s="85" t="s">
        <v>93</v>
      </c>
      <c r="B400" s="86" t="s">
        <v>554</v>
      </c>
      <c r="C400" s="86" t="s">
        <v>65</v>
      </c>
      <c r="D400" s="86" t="s">
        <v>63</v>
      </c>
      <c r="E400" s="86" t="s">
        <v>94</v>
      </c>
      <c r="F400" s="81"/>
      <c r="G400" s="166">
        <f t="shared" si="70"/>
        <v>2.2999999999999972</v>
      </c>
      <c r="H400" s="166">
        <f t="shared" si="70"/>
        <v>0</v>
      </c>
      <c r="I400" s="166">
        <f t="shared" si="67"/>
        <v>2.2999999999999972</v>
      </c>
      <c r="J400" s="165">
        <f t="shared" si="68"/>
        <v>0</v>
      </c>
    </row>
    <row r="401" spans="1:10" s="58" customFormat="1">
      <c r="A401" s="85" t="s">
        <v>97</v>
      </c>
      <c r="B401" s="86" t="s">
        <v>554</v>
      </c>
      <c r="C401" s="86" t="s">
        <v>65</v>
      </c>
      <c r="D401" s="86" t="s">
        <v>63</v>
      </c>
      <c r="E401" s="86" t="s">
        <v>98</v>
      </c>
      <c r="F401" s="81"/>
      <c r="G401" s="166">
        <f t="shared" si="70"/>
        <v>2.2999999999999972</v>
      </c>
      <c r="H401" s="166">
        <f t="shared" si="70"/>
        <v>0</v>
      </c>
      <c r="I401" s="166">
        <f t="shared" si="67"/>
        <v>2.2999999999999972</v>
      </c>
      <c r="J401" s="165">
        <f t="shared" si="68"/>
        <v>0</v>
      </c>
    </row>
    <row r="402" spans="1:10" s="58" customFormat="1" ht="22.5">
      <c r="A402" s="82" t="s">
        <v>131</v>
      </c>
      <c r="B402" s="86" t="s">
        <v>554</v>
      </c>
      <c r="C402" s="86" t="s">
        <v>65</v>
      </c>
      <c r="D402" s="86" t="s">
        <v>63</v>
      </c>
      <c r="E402" s="86" t="s">
        <v>98</v>
      </c>
      <c r="F402" s="81">
        <v>725</v>
      </c>
      <c r="G402" s="166">
        <f>81.3-79</f>
        <v>2.2999999999999972</v>
      </c>
      <c r="H402" s="166">
        <v>0</v>
      </c>
      <c r="I402" s="166">
        <f t="shared" si="67"/>
        <v>2.2999999999999972</v>
      </c>
      <c r="J402" s="165">
        <f t="shared" si="68"/>
        <v>0</v>
      </c>
    </row>
    <row r="403" spans="1:10" s="58" customFormat="1" ht="63.75">
      <c r="A403" s="89" t="s">
        <v>653</v>
      </c>
      <c r="B403" s="88" t="s">
        <v>565</v>
      </c>
      <c r="C403" s="88"/>
      <c r="D403" s="88"/>
      <c r="E403" s="88"/>
      <c r="F403" s="76"/>
      <c r="G403" s="166">
        <f>G404</f>
        <v>20</v>
      </c>
      <c r="H403" s="166">
        <f>H404</f>
        <v>20</v>
      </c>
      <c r="I403" s="166">
        <f t="shared" si="67"/>
        <v>0</v>
      </c>
      <c r="J403" s="165">
        <f t="shared" si="68"/>
        <v>100</v>
      </c>
    </row>
    <row r="404" spans="1:10" s="58" customFormat="1">
      <c r="A404" s="79" t="s">
        <v>7</v>
      </c>
      <c r="B404" s="88" t="s">
        <v>565</v>
      </c>
      <c r="C404" s="88" t="s">
        <v>65</v>
      </c>
      <c r="D404" s="88" t="s">
        <v>33</v>
      </c>
      <c r="E404" s="88"/>
      <c r="F404" s="76"/>
      <c r="G404" s="166">
        <f>G405+G409</f>
        <v>20</v>
      </c>
      <c r="H404" s="166">
        <f>H405+H409</f>
        <v>20</v>
      </c>
      <c r="I404" s="166">
        <f t="shared" si="67"/>
        <v>0</v>
      </c>
      <c r="J404" s="165">
        <f t="shared" si="68"/>
        <v>100</v>
      </c>
    </row>
    <row r="405" spans="1:10" s="58" customFormat="1">
      <c r="A405" s="85" t="s">
        <v>8</v>
      </c>
      <c r="B405" s="86" t="s">
        <v>565</v>
      </c>
      <c r="C405" s="86" t="s">
        <v>65</v>
      </c>
      <c r="D405" s="86" t="s">
        <v>62</v>
      </c>
      <c r="E405" s="86"/>
      <c r="F405" s="81"/>
      <c r="G405" s="166">
        <f t="shared" ref="G405:H407" si="71">G406</f>
        <v>10</v>
      </c>
      <c r="H405" s="166">
        <f t="shared" si="71"/>
        <v>10</v>
      </c>
      <c r="I405" s="166">
        <f t="shared" si="67"/>
        <v>0</v>
      </c>
      <c r="J405" s="165">
        <f t="shared" si="68"/>
        <v>100</v>
      </c>
    </row>
    <row r="406" spans="1:10" s="58" customFormat="1" ht="22.5">
      <c r="A406" s="85" t="s">
        <v>93</v>
      </c>
      <c r="B406" s="86" t="s">
        <v>565</v>
      </c>
      <c r="C406" s="86" t="s">
        <v>65</v>
      </c>
      <c r="D406" s="86" t="s">
        <v>62</v>
      </c>
      <c r="E406" s="86" t="s">
        <v>94</v>
      </c>
      <c r="F406" s="81"/>
      <c r="G406" s="166">
        <f t="shared" si="71"/>
        <v>10</v>
      </c>
      <c r="H406" s="166">
        <f t="shared" si="71"/>
        <v>10</v>
      </c>
      <c r="I406" s="166">
        <f t="shared" si="67"/>
        <v>0</v>
      </c>
      <c r="J406" s="165">
        <f t="shared" si="68"/>
        <v>100</v>
      </c>
    </row>
    <row r="407" spans="1:10" s="58" customFormat="1">
      <c r="A407" s="85" t="s">
        <v>97</v>
      </c>
      <c r="B407" s="86" t="s">
        <v>565</v>
      </c>
      <c r="C407" s="86" t="s">
        <v>65</v>
      </c>
      <c r="D407" s="86" t="s">
        <v>62</v>
      </c>
      <c r="E407" s="86" t="s">
        <v>98</v>
      </c>
      <c r="F407" s="81"/>
      <c r="G407" s="166">
        <f t="shared" si="71"/>
        <v>10</v>
      </c>
      <c r="H407" s="166">
        <f t="shared" si="71"/>
        <v>10</v>
      </c>
      <c r="I407" s="166">
        <f t="shared" si="67"/>
        <v>0</v>
      </c>
      <c r="J407" s="165">
        <f t="shared" si="68"/>
        <v>100</v>
      </c>
    </row>
    <row r="408" spans="1:10" s="58" customFormat="1" ht="22.5">
      <c r="A408" s="82" t="s">
        <v>131</v>
      </c>
      <c r="B408" s="86" t="s">
        <v>565</v>
      </c>
      <c r="C408" s="86" t="s">
        <v>65</v>
      </c>
      <c r="D408" s="86" t="s">
        <v>62</v>
      </c>
      <c r="E408" s="86" t="s">
        <v>98</v>
      </c>
      <c r="F408" s="81">
        <v>725</v>
      </c>
      <c r="G408" s="166">
        <v>10</v>
      </c>
      <c r="H408" s="166">
        <v>10</v>
      </c>
      <c r="I408" s="166">
        <f t="shared" si="67"/>
        <v>0</v>
      </c>
      <c r="J408" s="165">
        <f t="shared" si="68"/>
        <v>100</v>
      </c>
    </row>
    <row r="409" spans="1:10" s="58" customFormat="1">
      <c r="A409" s="85" t="s">
        <v>9</v>
      </c>
      <c r="B409" s="86" t="s">
        <v>565</v>
      </c>
      <c r="C409" s="86" t="s">
        <v>65</v>
      </c>
      <c r="D409" s="86" t="s">
        <v>63</v>
      </c>
      <c r="E409" s="86"/>
      <c r="F409" s="81"/>
      <c r="G409" s="166">
        <f t="shared" ref="G409:H411" si="72">G410</f>
        <v>10</v>
      </c>
      <c r="H409" s="166">
        <f t="shared" si="72"/>
        <v>10</v>
      </c>
      <c r="I409" s="166">
        <f t="shared" si="67"/>
        <v>0</v>
      </c>
      <c r="J409" s="165">
        <f t="shared" si="68"/>
        <v>100</v>
      </c>
    </row>
    <row r="410" spans="1:10" s="58" customFormat="1" ht="22.5">
      <c r="A410" s="85" t="s">
        <v>93</v>
      </c>
      <c r="B410" s="86" t="s">
        <v>565</v>
      </c>
      <c r="C410" s="86" t="s">
        <v>65</v>
      </c>
      <c r="D410" s="86" t="s">
        <v>63</v>
      </c>
      <c r="E410" s="86" t="s">
        <v>94</v>
      </c>
      <c r="F410" s="81"/>
      <c r="G410" s="166">
        <f t="shared" si="72"/>
        <v>10</v>
      </c>
      <c r="H410" s="166">
        <f t="shared" si="72"/>
        <v>10</v>
      </c>
      <c r="I410" s="166">
        <f t="shared" si="67"/>
        <v>0</v>
      </c>
      <c r="J410" s="165">
        <f t="shared" si="68"/>
        <v>100</v>
      </c>
    </row>
    <row r="411" spans="1:10" s="58" customFormat="1">
      <c r="A411" s="85" t="s">
        <v>97</v>
      </c>
      <c r="B411" s="86" t="s">
        <v>565</v>
      </c>
      <c r="C411" s="86" t="s">
        <v>65</v>
      </c>
      <c r="D411" s="86" t="s">
        <v>63</v>
      </c>
      <c r="E411" s="86" t="s">
        <v>98</v>
      </c>
      <c r="F411" s="81"/>
      <c r="G411" s="166">
        <f t="shared" si="72"/>
        <v>10</v>
      </c>
      <c r="H411" s="166">
        <f t="shared" si="72"/>
        <v>10</v>
      </c>
      <c r="I411" s="166">
        <f t="shared" si="67"/>
        <v>0</v>
      </c>
      <c r="J411" s="165">
        <f t="shared" si="68"/>
        <v>100</v>
      </c>
    </row>
    <row r="412" spans="1:10" s="58" customFormat="1" ht="22.5">
      <c r="A412" s="82" t="s">
        <v>131</v>
      </c>
      <c r="B412" s="86" t="s">
        <v>565</v>
      </c>
      <c r="C412" s="86" t="s">
        <v>65</v>
      </c>
      <c r="D412" s="86" t="s">
        <v>63</v>
      </c>
      <c r="E412" s="86" t="s">
        <v>98</v>
      </c>
      <c r="F412" s="81">
        <v>725</v>
      </c>
      <c r="G412" s="166">
        <v>10</v>
      </c>
      <c r="H412" s="166">
        <v>10</v>
      </c>
      <c r="I412" s="166">
        <f t="shared" si="67"/>
        <v>0</v>
      </c>
      <c r="J412" s="165">
        <f t="shared" si="68"/>
        <v>100</v>
      </c>
    </row>
    <row r="413" spans="1:10" s="58" customFormat="1" ht="32.25">
      <c r="A413" s="89" t="s">
        <v>375</v>
      </c>
      <c r="B413" s="88" t="s">
        <v>341</v>
      </c>
      <c r="C413" s="88"/>
      <c r="D413" s="88"/>
      <c r="E413" s="88"/>
      <c r="F413" s="76"/>
      <c r="G413" s="163">
        <f t="shared" ref="G413:H417" si="73">G414</f>
        <v>141591.6</v>
      </c>
      <c r="H413" s="163">
        <f t="shared" si="73"/>
        <v>141590.70000000001</v>
      </c>
      <c r="I413" s="163">
        <f t="shared" si="67"/>
        <v>0.89999999999417923</v>
      </c>
      <c r="J413" s="164">
        <f t="shared" si="68"/>
        <v>99.999364369072737</v>
      </c>
    </row>
    <row r="414" spans="1:10" s="58" customFormat="1">
      <c r="A414" s="79" t="s">
        <v>7</v>
      </c>
      <c r="B414" s="88" t="s">
        <v>341</v>
      </c>
      <c r="C414" s="88" t="s">
        <v>65</v>
      </c>
      <c r="D414" s="88" t="s">
        <v>33</v>
      </c>
      <c r="E414" s="88"/>
      <c r="F414" s="76"/>
      <c r="G414" s="163">
        <f t="shared" si="73"/>
        <v>141591.6</v>
      </c>
      <c r="H414" s="163">
        <f t="shared" si="73"/>
        <v>141590.70000000001</v>
      </c>
      <c r="I414" s="163">
        <f t="shared" si="67"/>
        <v>0.89999999999417923</v>
      </c>
      <c r="J414" s="164">
        <f t="shared" si="68"/>
        <v>99.999364369072737</v>
      </c>
    </row>
    <row r="415" spans="1:10" s="11" customFormat="1">
      <c r="A415" s="85" t="s">
        <v>9</v>
      </c>
      <c r="B415" s="86" t="s">
        <v>341</v>
      </c>
      <c r="C415" s="86" t="s">
        <v>65</v>
      </c>
      <c r="D415" s="86" t="s">
        <v>63</v>
      </c>
      <c r="E415" s="86"/>
      <c r="F415" s="81"/>
      <c r="G415" s="166">
        <f t="shared" si="73"/>
        <v>141591.6</v>
      </c>
      <c r="H415" s="166">
        <f t="shared" si="73"/>
        <v>141590.70000000001</v>
      </c>
      <c r="I415" s="166">
        <f t="shared" si="67"/>
        <v>0.89999999999417923</v>
      </c>
      <c r="J415" s="165">
        <f t="shared" si="68"/>
        <v>99.999364369072737</v>
      </c>
    </row>
    <row r="416" spans="1:10" s="11" customFormat="1" ht="22.5">
      <c r="A416" s="85" t="s">
        <v>93</v>
      </c>
      <c r="B416" s="86" t="s">
        <v>341</v>
      </c>
      <c r="C416" s="86" t="s">
        <v>65</v>
      </c>
      <c r="D416" s="86" t="s">
        <v>63</v>
      </c>
      <c r="E416" s="86" t="s">
        <v>94</v>
      </c>
      <c r="F416" s="81"/>
      <c r="G416" s="166">
        <f t="shared" si="73"/>
        <v>141591.6</v>
      </c>
      <c r="H416" s="166">
        <f t="shared" si="73"/>
        <v>141590.70000000001</v>
      </c>
      <c r="I416" s="166">
        <f t="shared" si="67"/>
        <v>0.89999999999417923</v>
      </c>
      <c r="J416" s="165">
        <f t="shared" si="68"/>
        <v>99.999364369072737</v>
      </c>
    </row>
    <row r="417" spans="1:10" s="11" customFormat="1">
      <c r="A417" s="85" t="s">
        <v>97</v>
      </c>
      <c r="B417" s="86" t="s">
        <v>341</v>
      </c>
      <c r="C417" s="86" t="s">
        <v>65</v>
      </c>
      <c r="D417" s="86" t="s">
        <v>63</v>
      </c>
      <c r="E417" s="86" t="s">
        <v>98</v>
      </c>
      <c r="F417" s="81"/>
      <c r="G417" s="166">
        <f t="shared" si="73"/>
        <v>141591.6</v>
      </c>
      <c r="H417" s="166">
        <f t="shared" si="73"/>
        <v>141590.70000000001</v>
      </c>
      <c r="I417" s="166">
        <f t="shared" si="67"/>
        <v>0.89999999999417923</v>
      </c>
      <c r="J417" s="165">
        <f t="shared" si="68"/>
        <v>99.999364369072737</v>
      </c>
    </row>
    <row r="418" spans="1:10" s="11" customFormat="1" ht="22.5">
      <c r="A418" s="82" t="s">
        <v>131</v>
      </c>
      <c r="B418" s="86" t="s">
        <v>341</v>
      </c>
      <c r="C418" s="86" t="s">
        <v>65</v>
      </c>
      <c r="D418" s="86" t="s">
        <v>63</v>
      </c>
      <c r="E418" s="86" t="s">
        <v>98</v>
      </c>
      <c r="F418" s="81">
        <v>725</v>
      </c>
      <c r="G418" s="166">
        <f>125808.1+15783.5</f>
        <v>141591.6</v>
      </c>
      <c r="H418" s="166">
        <f>107339.8+29862.3+4388.6</f>
        <v>141590.70000000001</v>
      </c>
      <c r="I418" s="166">
        <f t="shared" si="67"/>
        <v>0.89999999999417923</v>
      </c>
      <c r="J418" s="165">
        <f t="shared" si="68"/>
        <v>99.999364369072737</v>
      </c>
    </row>
    <row r="419" spans="1:10" s="58" customFormat="1" ht="39.6" customHeight="1">
      <c r="A419" s="89" t="s">
        <v>376</v>
      </c>
      <c r="B419" s="88" t="s">
        <v>337</v>
      </c>
      <c r="C419" s="88"/>
      <c r="D419" s="88"/>
      <c r="E419" s="88"/>
      <c r="F419" s="76"/>
      <c r="G419" s="163">
        <f>G420</f>
        <v>1562.9999999999998</v>
      </c>
      <c r="H419" s="163">
        <f>H420</f>
        <v>1469.0000000000002</v>
      </c>
      <c r="I419" s="163">
        <f t="shared" si="67"/>
        <v>93.999999999999545</v>
      </c>
      <c r="J419" s="164">
        <f t="shared" si="68"/>
        <v>93.985924504158703</v>
      </c>
    </row>
    <row r="420" spans="1:10" s="58" customFormat="1">
      <c r="A420" s="79" t="s">
        <v>7</v>
      </c>
      <c r="B420" s="88" t="s">
        <v>337</v>
      </c>
      <c r="C420" s="88" t="s">
        <v>65</v>
      </c>
      <c r="D420" s="88" t="s">
        <v>33</v>
      </c>
      <c r="E420" s="88"/>
      <c r="F420" s="76"/>
      <c r="G420" s="163">
        <f>G421+G425+G429</f>
        <v>1562.9999999999998</v>
      </c>
      <c r="H420" s="163">
        <f>H421+H425+H429</f>
        <v>1469.0000000000002</v>
      </c>
      <c r="I420" s="163">
        <f t="shared" si="67"/>
        <v>93.999999999999545</v>
      </c>
      <c r="J420" s="164">
        <f t="shared" si="68"/>
        <v>93.985924504158703</v>
      </c>
    </row>
    <row r="421" spans="1:10" s="11" customFormat="1">
      <c r="A421" s="85" t="s">
        <v>8</v>
      </c>
      <c r="B421" s="86" t="s">
        <v>337</v>
      </c>
      <c r="C421" s="86" t="s">
        <v>65</v>
      </c>
      <c r="D421" s="86" t="s">
        <v>62</v>
      </c>
      <c r="E421" s="86"/>
      <c r="F421" s="81"/>
      <c r="G421" s="166">
        <f t="shared" ref="G421:H423" si="74">G422</f>
        <v>257.79999999999995</v>
      </c>
      <c r="H421" s="166">
        <f t="shared" si="74"/>
        <v>255.4</v>
      </c>
      <c r="I421" s="166">
        <f t="shared" si="67"/>
        <v>2.3999999999999488</v>
      </c>
      <c r="J421" s="165">
        <f t="shared" si="68"/>
        <v>99.069045771916237</v>
      </c>
    </row>
    <row r="422" spans="1:10" s="11" customFormat="1" ht="22.5">
      <c r="A422" s="85" t="s">
        <v>93</v>
      </c>
      <c r="B422" s="86" t="s">
        <v>337</v>
      </c>
      <c r="C422" s="86" t="s">
        <v>65</v>
      </c>
      <c r="D422" s="86" t="s">
        <v>62</v>
      </c>
      <c r="E422" s="86" t="s">
        <v>94</v>
      </c>
      <c r="F422" s="81"/>
      <c r="G422" s="166">
        <f t="shared" si="74"/>
        <v>257.79999999999995</v>
      </c>
      <c r="H422" s="166">
        <f t="shared" si="74"/>
        <v>255.4</v>
      </c>
      <c r="I422" s="166">
        <f t="shared" si="67"/>
        <v>2.3999999999999488</v>
      </c>
      <c r="J422" s="165">
        <f t="shared" si="68"/>
        <v>99.069045771916237</v>
      </c>
    </row>
    <row r="423" spans="1:10" s="11" customFormat="1">
      <c r="A423" s="85" t="s">
        <v>97</v>
      </c>
      <c r="B423" s="86" t="s">
        <v>337</v>
      </c>
      <c r="C423" s="86" t="s">
        <v>65</v>
      </c>
      <c r="D423" s="86" t="s">
        <v>62</v>
      </c>
      <c r="E423" s="86" t="s">
        <v>98</v>
      </c>
      <c r="F423" s="81"/>
      <c r="G423" s="166">
        <f t="shared" si="74"/>
        <v>257.79999999999995</v>
      </c>
      <c r="H423" s="166">
        <f t="shared" si="74"/>
        <v>255.4</v>
      </c>
      <c r="I423" s="166">
        <f t="shared" si="67"/>
        <v>2.3999999999999488</v>
      </c>
      <c r="J423" s="165">
        <f t="shared" si="68"/>
        <v>99.069045771916237</v>
      </c>
    </row>
    <row r="424" spans="1:10" s="11" customFormat="1" ht="22.5">
      <c r="A424" s="82" t="s">
        <v>131</v>
      </c>
      <c r="B424" s="86" t="s">
        <v>337</v>
      </c>
      <c r="C424" s="86" t="s">
        <v>65</v>
      </c>
      <c r="D424" s="86" t="s">
        <v>62</v>
      </c>
      <c r="E424" s="86" t="s">
        <v>98</v>
      </c>
      <c r="F424" s="81">
        <v>725</v>
      </c>
      <c r="G424" s="166">
        <f>191.7+66.1</f>
        <v>257.79999999999995</v>
      </c>
      <c r="H424" s="166">
        <f>255.4</f>
        <v>255.4</v>
      </c>
      <c r="I424" s="166">
        <f t="shared" si="67"/>
        <v>2.3999999999999488</v>
      </c>
      <c r="J424" s="165">
        <f t="shared" si="68"/>
        <v>99.069045771916237</v>
      </c>
    </row>
    <row r="425" spans="1:10" s="11" customFormat="1">
      <c r="A425" s="82" t="s">
        <v>9</v>
      </c>
      <c r="B425" s="86" t="s">
        <v>337</v>
      </c>
      <c r="C425" s="86" t="s">
        <v>65</v>
      </c>
      <c r="D425" s="86" t="s">
        <v>63</v>
      </c>
      <c r="E425" s="86"/>
      <c r="F425" s="81"/>
      <c r="G425" s="166">
        <f t="shared" ref="G425:H427" si="75">G426</f>
        <v>994.9</v>
      </c>
      <c r="H425" s="166">
        <f t="shared" si="75"/>
        <v>912.40000000000009</v>
      </c>
      <c r="I425" s="166">
        <f t="shared" si="67"/>
        <v>82.499999999999886</v>
      </c>
      <c r="J425" s="165">
        <f t="shared" si="68"/>
        <v>91.70770931751936</v>
      </c>
    </row>
    <row r="426" spans="1:10" s="11" customFormat="1" ht="22.5">
      <c r="A426" s="85" t="s">
        <v>93</v>
      </c>
      <c r="B426" s="86" t="s">
        <v>337</v>
      </c>
      <c r="C426" s="86" t="s">
        <v>65</v>
      </c>
      <c r="D426" s="86" t="s">
        <v>63</v>
      </c>
      <c r="E426" s="86" t="s">
        <v>94</v>
      </c>
      <c r="F426" s="81"/>
      <c r="G426" s="166">
        <f t="shared" si="75"/>
        <v>994.9</v>
      </c>
      <c r="H426" s="166">
        <f t="shared" si="75"/>
        <v>912.40000000000009</v>
      </c>
      <c r="I426" s="166">
        <f t="shared" si="67"/>
        <v>82.499999999999886</v>
      </c>
      <c r="J426" s="165">
        <f t="shared" si="68"/>
        <v>91.70770931751936</v>
      </c>
    </row>
    <row r="427" spans="1:10" s="11" customFormat="1">
      <c r="A427" s="85" t="s">
        <v>97</v>
      </c>
      <c r="B427" s="86" t="s">
        <v>337</v>
      </c>
      <c r="C427" s="86" t="s">
        <v>65</v>
      </c>
      <c r="D427" s="86" t="s">
        <v>63</v>
      </c>
      <c r="E427" s="86" t="s">
        <v>98</v>
      </c>
      <c r="F427" s="81"/>
      <c r="G427" s="166">
        <f t="shared" si="75"/>
        <v>994.9</v>
      </c>
      <c r="H427" s="166">
        <f t="shared" si="75"/>
        <v>912.40000000000009</v>
      </c>
      <c r="I427" s="166">
        <f t="shared" si="67"/>
        <v>82.499999999999886</v>
      </c>
      <c r="J427" s="165">
        <f t="shared" si="68"/>
        <v>91.70770931751936</v>
      </c>
    </row>
    <row r="428" spans="1:10" s="11" customFormat="1" ht="22.5">
      <c r="A428" s="82" t="s">
        <v>131</v>
      </c>
      <c r="B428" s="86" t="s">
        <v>337</v>
      </c>
      <c r="C428" s="86" t="s">
        <v>65</v>
      </c>
      <c r="D428" s="86" t="s">
        <v>63</v>
      </c>
      <c r="E428" s="86" t="s">
        <v>98</v>
      </c>
      <c r="F428" s="81">
        <v>725</v>
      </c>
      <c r="G428" s="166">
        <f>683.9+277.5+33.5</f>
        <v>994.9</v>
      </c>
      <c r="H428" s="166">
        <f>690.7+221.7</f>
        <v>912.40000000000009</v>
      </c>
      <c r="I428" s="166">
        <f t="shared" si="67"/>
        <v>82.499999999999886</v>
      </c>
      <c r="J428" s="165">
        <f t="shared" si="68"/>
        <v>91.70770931751936</v>
      </c>
    </row>
    <row r="429" spans="1:10" s="11" customFormat="1">
      <c r="A429" s="82" t="s">
        <v>302</v>
      </c>
      <c r="B429" s="86" t="s">
        <v>337</v>
      </c>
      <c r="C429" s="86" t="s">
        <v>65</v>
      </c>
      <c r="D429" s="86" t="s">
        <v>66</v>
      </c>
      <c r="E429" s="86"/>
      <c r="F429" s="81"/>
      <c r="G429" s="166">
        <f>G430</f>
        <v>310.29999999999995</v>
      </c>
      <c r="H429" s="166">
        <f>H430</f>
        <v>301.2</v>
      </c>
      <c r="I429" s="166">
        <f t="shared" si="67"/>
        <v>9.0999999999999659</v>
      </c>
      <c r="J429" s="165">
        <f t="shared" si="68"/>
        <v>97.067354173380608</v>
      </c>
    </row>
    <row r="430" spans="1:10" s="11" customFormat="1" ht="22.5">
      <c r="A430" s="85" t="s">
        <v>93</v>
      </c>
      <c r="B430" s="86" t="s">
        <v>337</v>
      </c>
      <c r="C430" s="86" t="s">
        <v>65</v>
      </c>
      <c r="D430" s="86" t="s">
        <v>66</v>
      </c>
      <c r="E430" s="86" t="s">
        <v>94</v>
      </c>
      <c r="F430" s="81"/>
      <c r="G430" s="166">
        <f>G431</f>
        <v>310.29999999999995</v>
      </c>
      <c r="H430" s="166">
        <f>H431</f>
        <v>301.2</v>
      </c>
      <c r="I430" s="166">
        <f t="shared" si="67"/>
        <v>9.0999999999999659</v>
      </c>
      <c r="J430" s="165">
        <f t="shared" si="68"/>
        <v>97.067354173380608</v>
      </c>
    </row>
    <row r="431" spans="1:10" s="11" customFormat="1">
      <c r="A431" s="85" t="s">
        <v>97</v>
      </c>
      <c r="B431" s="86" t="s">
        <v>337</v>
      </c>
      <c r="C431" s="86" t="s">
        <v>65</v>
      </c>
      <c r="D431" s="86" t="s">
        <v>66</v>
      </c>
      <c r="E431" s="86" t="s">
        <v>98</v>
      </c>
      <c r="F431" s="81"/>
      <c r="G431" s="166">
        <f>G432+G433</f>
        <v>310.29999999999995</v>
      </c>
      <c r="H431" s="166">
        <f>H432+H433</f>
        <v>301.2</v>
      </c>
      <c r="I431" s="166">
        <f t="shared" si="67"/>
        <v>9.0999999999999659</v>
      </c>
      <c r="J431" s="165">
        <f t="shared" si="68"/>
        <v>97.067354173380608</v>
      </c>
    </row>
    <row r="432" spans="1:10" s="11" customFormat="1" ht="22.5">
      <c r="A432" s="82" t="s">
        <v>131</v>
      </c>
      <c r="B432" s="86" t="s">
        <v>337</v>
      </c>
      <c r="C432" s="86" t="s">
        <v>65</v>
      </c>
      <c r="D432" s="86" t="s">
        <v>66</v>
      </c>
      <c r="E432" s="86" t="s">
        <v>98</v>
      </c>
      <c r="F432" s="81">
        <v>725</v>
      </c>
      <c r="G432" s="166">
        <f>156.5-41.4+22.6+3</f>
        <v>140.69999999999999</v>
      </c>
      <c r="H432" s="166">
        <f>106.3+31.2</f>
        <v>137.5</v>
      </c>
      <c r="I432" s="166">
        <f t="shared" si="67"/>
        <v>3.1999999999999886</v>
      </c>
      <c r="J432" s="165">
        <f t="shared" si="68"/>
        <v>97.725657427149969</v>
      </c>
    </row>
    <row r="433" spans="1:10" s="11" customFormat="1" ht="22.5">
      <c r="A433" s="82" t="s">
        <v>132</v>
      </c>
      <c r="B433" s="86" t="s">
        <v>337</v>
      </c>
      <c r="C433" s="86" t="s">
        <v>65</v>
      </c>
      <c r="D433" s="86" t="s">
        <v>66</v>
      </c>
      <c r="E433" s="86" t="s">
        <v>98</v>
      </c>
      <c r="F433" s="81">
        <v>726</v>
      </c>
      <c r="G433" s="166">
        <f>252-82.4</f>
        <v>169.6</v>
      </c>
      <c r="H433" s="166">
        <v>163.69999999999999</v>
      </c>
      <c r="I433" s="166">
        <f t="shared" si="67"/>
        <v>5.9000000000000057</v>
      </c>
      <c r="J433" s="165">
        <f t="shared" si="68"/>
        <v>96.521226415094347</v>
      </c>
    </row>
    <row r="434" spans="1:10" s="58" customFormat="1" ht="47.45" customHeight="1">
      <c r="A434" s="89" t="s">
        <v>545</v>
      </c>
      <c r="B434" s="88" t="s">
        <v>338</v>
      </c>
      <c r="C434" s="88"/>
      <c r="D434" s="88"/>
      <c r="E434" s="88"/>
      <c r="F434" s="76"/>
      <c r="G434" s="163">
        <f>G435</f>
        <v>4724.7</v>
      </c>
      <c r="H434" s="163">
        <f>H435</f>
        <v>4592.3</v>
      </c>
      <c r="I434" s="163">
        <f t="shared" si="67"/>
        <v>132.39999999999964</v>
      </c>
      <c r="J434" s="164">
        <f t="shared" si="68"/>
        <v>97.19770567443436</v>
      </c>
    </row>
    <row r="435" spans="1:10" s="58" customFormat="1">
      <c r="A435" s="79" t="s">
        <v>7</v>
      </c>
      <c r="B435" s="88" t="s">
        <v>338</v>
      </c>
      <c r="C435" s="88" t="s">
        <v>65</v>
      </c>
      <c r="D435" s="88" t="s">
        <v>33</v>
      </c>
      <c r="E435" s="88"/>
      <c r="F435" s="76"/>
      <c r="G435" s="163">
        <f>G436+G440+G444</f>
        <v>4724.7</v>
      </c>
      <c r="H435" s="163">
        <f>H436+H440+H444</f>
        <v>4592.3</v>
      </c>
      <c r="I435" s="163">
        <f t="shared" si="67"/>
        <v>132.39999999999964</v>
      </c>
      <c r="J435" s="164">
        <f t="shared" si="68"/>
        <v>97.19770567443436</v>
      </c>
    </row>
    <row r="436" spans="1:10" s="11" customFormat="1">
      <c r="A436" s="85" t="s">
        <v>8</v>
      </c>
      <c r="B436" s="86" t="s">
        <v>338</v>
      </c>
      <c r="C436" s="86" t="s">
        <v>65</v>
      </c>
      <c r="D436" s="86" t="s">
        <v>62</v>
      </c>
      <c r="E436" s="86"/>
      <c r="F436" s="81"/>
      <c r="G436" s="166">
        <f t="shared" ref="G436:H438" si="76">G437</f>
        <v>1006</v>
      </c>
      <c r="H436" s="166">
        <f t="shared" si="76"/>
        <v>1000.9000000000001</v>
      </c>
      <c r="I436" s="166">
        <f t="shared" si="67"/>
        <v>5.0999999999999091</v>
      </c>
      <c r="J436" s="165">
        <f t="shared" si="68"/>
        <v>99.493041749502993</v>
      </c>
    </row>
    <row r="437" spans="1:10" s="11" customFormat="1" ht="22.5">
      <c r="A437" s="85" t="s">
        <v>93</v>
      </c>
      <c r="B437" s="86" t="s">
        <v>338</v>
      </c>
      <c r="C437" s="86" t="s">
        <v>65</v>
      </c>
      <c r="D437" s="86" t="s">
        <v>62</v>
      </c>
      <c r="E437" s="86" t="s">
        <v>94</v>
      </c>
      <c r="F437" s="81"/>
      <c r="G437" s="166">
        <f t="shared" si="76"/>
        <v>1006</v>
      </c>
      <c r="H437" s="166">
        <f t="shared" si="76"/>
        <v>1000.9000000000001</v>
      </c>
      <c r="I437" s="166">
        <f t="shared" si="67"/>
        <v>5.0999999999999091</v>
      </c>
      <c r="J437" s="165">
        <f t="shared" si="68"/>
        <v>99.493041749502993</v>
      </c>
    </row>
    <row r="438" spans="1:10" s="11" customFormat="1">
      <c r="A438" s="85" t="s">
        <v>97</v>
      </c>
      <c r="B438" s="86" t="s">
        <v>338</v>
      </c>
      <c r="C438" s="86" t="s">
        <v>65</v>
      </c>
      <c r="D438" s="86" t="s">
        <v>62</v>
      </c>
      <c r="E438" s="86" t="s">
        <v>98</v>
      </c>
      <c r="F438" s="81"/>
      <c r="G438" s="166">
        <f t="shared" si="76"/>
        <v>1006</v>
      </c>
      <c r="H438" s="166">
        <f t="shared" si="76"/>
        <v>1000.9000000000001</v>
      </c>
      <c r="I438" s="166">
        <f t="shared" si="67"/>
        <v>5.0999999999999091</v>
      </c>
      <c r="J438" s="165">
        <f t="shared" si="68"/>
        <v>99.493041749502993</v>
      </c>
    </row>
    <row r="439" spans="1:10" s="11" customFormat="1" ht="22.5">
      <c r="A439" s="82" t="s">
        <v>131</v>
      </c>
      <c r="B439" s="86" t="s">
        <v>338</v>
      </c>
      <c r="C439" s="86" t="s">
        <v>65</v>
      </c>
      <c r="D439" s="86" t="s">
        <v>62</v>
      </c>
      <c r="E439" s="86" t="s">
        <v>98</v>
      </c>
      <c r="F439" s="81">
        <v>725</v>
      </c>
      <c r="G439" s="166">
        <f>1136.2-130.2</f>
        <v>1006</v>
      </c>
      <c r="H439" s="166">
        <f>772.6+228.3</f>
        <v>1000.9000000000001</v>
      </c>
      <c r="I439" s="166">
        <f t="shared" si="67"/>
        <v>5.0999999999999091</v>
      </c>
      <c r="J439" s="165">
        <f t="shared" si="68"/>
        <v>99.493041749502993</v>
      </c>
    </row>
    <row r="440" spans="1:10" s="11" customFormat="1">
      <c r="A440" s="82" t="s">
        <v>9</v>
      </c>
      <c r="B440" s="86" t="s">
        <v>338</v>
      </c>
      <c r="C440" s="86" t="s">
        <v>65</v>
      </c>
      <c r="D440" s="86" t="s">
        <v>63</v>
      </c>
      <c r="E440" s="86"/>
      <c r="F440" s="81"/>
      <c r="G440" s="166">
        <f t="shared" ref="G440:H442" si="77">G441</f>
        <v>2588.5</v>
      </c>
      <c r="H440" s="166">
        <f t="shared" si="77"/>
        <v>2515.4</v>
      </c>
      <c r="I440" s="166">
        <f t="shared" si="67"/>
        <v>73.099999999999909</v>
      </c>
      <c r="J440" s="165">
        <f t="shared" si="68"/>
        <v>97.175970639366426</v>
      </c>
    </row>
    <row r="441" spans="1:10" s="11" customFormat="1" ht="22.5">
      <c r="A441" s="85" t="s">
        <v>93</v>
      </c>
      <c r="B441" s="86" t="s">
        <v>338</v>
      </c>
      <c r="C441" s="86" t="s">
        <v>65</v>
      </c>
      <c r="D441" s="86" t="s">
        <v>63</v>
      </c>
      <c r="E441" s="86" t="s">
        <v>94</v>
      </c>
      <c r="F441" s="81"/>
      <c r="G441" s="166">
        <f t="shared" si="77"/>
        <v>2588.5</v>
      </c>
      <c r="H441" s="166">
        <f t="shared" si="77"/>
        <v>2515.4</v>
      </c>
      <c r="I441" s="166">
        <f t="shared" si="67"/>
        <v>73.099999999999909</v>
      </c>
      <c r="J441" s="165">
        <f t="shared" si="68"/>
        <v>97.175970639366426</v>
      </c>
    </row>
    <row r="442" spans="1:10" s="11" customFormat="1">
      <c r="A442" s="85" t="s">
        <v>97</v>
      </c>
      <c r="B442" s="86" t="s">
        <v>338</v>
      </c>
      <c r="C442" s="86" t="s">
        <v>65</v>
      </c>
      <c r="D442" s="86" t="s">
        <v>63</v>
      </c>
      <c r="E442" s="86" t="s">
        <v>98</v>
      </c>
      <c r="F442" s="81"/>
      <c r="G442" s="166">
        <f t="shared" si="77"/>
        <v>2588.5</v>
      </c>
      <c r="H442" s="166">
        <f t="shared" si="77"/>
        <v>2515.4</v>
      </c>
      <c r="I442" s="166">
        <f t="shared" si="67"/>
        <v>73.099999999999909</v>
      </c>
      <c r="J442" s="165">
        <f t="shared" si="68"/>
        <v>97.175970639366426</v>
      </c>
    </row>
    <row r="443" spans="1:10" s="11" customFormat="1" ht="11.25" customHeight="1">
      <c r="A443" s="82" t="s">
        <v>131</v>
      </c>
      <c r="B443" s="86" t="s">
        <v>338</v>
      </c>
      <c r="C443" s="86" t="s">
        <v>65</v>
      </c>
      <c r="D443" s="86" t="s">
        <v>63</v>
      </c>
      <c r="E443" s="86" t="s">
        <v>98</v>
      </c>
      <c r="F443" s="81">
        <v>725</v>
      </c>
      <c r="G443" s="166">
        <f>3329.5-694.6-46.4</f>
        <v>2588.5</v>
      </c>
      <c r="H443" s="166">
        <f>1933.7+582.1-0.4</f>
        <v>2515.4</v>
      </c>
      <c r="I443" s="166">
        <f t="shared" si="67"/>
        <v>73.099999999999909</v>
      </c>
      <c r="J443" s="165">
        <f t="shared" si="68"/>
        <v>97.175970639366426</v>
      </c>
    </row>
    <row r="444" spans="1:10" s="11" customFormat="1">
      <c r="A444" s="82" t="s">
        <v>302</v>
      </c>
      <c r="B444" s="86" t="s">
        <v>338</v>
      </c>
      <c r="C444" s="86" t="s">
        <v>65</v>
      </c>
      <c r="D444" s="86" t="s">
        <v>66</v>
      </c>
      <c r="E444" s="86"/>
      <c r="F444" s="81"/>
      <c r="G444" s="166">
        <f>G445</f>
        <v>1130.1999999999998</v>
      </c>
      <c r="H444" s="166">
        <f>H445</f>
        <v>1076</v>
      </c>
      <c r="I444" s="166">
        <f t="shared" si="67"/>
        <v>54.199999999999818</v>
      </c>
      <c r="J444" s="165">
        <f t="shared" si="68"/>
        <v>95.204388603786967</v>
      </c>
    </row>
    <row r="445" spans="1:10" s="11" customFormat="1" ht="22.5">
      <c r="A445" s="85" t="s">
        <v>93</v>
      </c>
      <c r="B445" s="86" t="s">
        <v>338</v>
      </c>
      <c r="C445" s="86" t="s">
        <v>65</v>
      </c>
      <c r="D445" s="86" t="s">
        <v>66</v>
      </c>
      <c r="E445" s="86" t="s">
        <v>94</v>
      </c>
      <c r="F445" s="81"/>
      <c r="G445" s="166">
        <f>G446</f>
        <v>1130.1999999999998</v>
      </c>
      <c r="H445" s="166">
        <f>H446</f>
        <v>1076</v>
      </c>
      <c r="I445" s="166">
        <f t="shared" si="67"/>
        <v>54.199999999999818</v>
      </c>
      <c r="J445" s="165">
        <f t="shared" si="68"/>
        <v>95.204388603786967</v>
      </c>
    </row>
    <row r="446" spans="1:10" s="11" customFormat="1">
      <c r="A446" s="85" t="s">
        <v>97</v>
      </c>
      <c r="B446" s="86" t="s">
        <v>338</v>
      </c>
      <c r="C446" s="86" t="s">
        <v>65</v>
      </c>
      <c r="D446" s="86" t="s">
        <v>66</v>
      </c>
      <c r="E446" s="86" t="s">
        <v>98</v>
      </c>
      <c r="F446" s="81"/>
      <c r="G446" s="166">
        <f>G447+G448</f>
        <v>1130.1999999999998</v>
      </c>
      <c r="H446" s="166">
        <f>H447+H448</f>
        <v>1076</v>
      </c>
      <c r="I446" s="166">
        <f t="shared" si="67"/>
        <v>54.199999999999818</v>
      </c>
      <c r="J446" s="165">
        <f t="shared" si="68"/>
        <v>95.204388603786967</v>
      </c>
    </row>
    <row r="447" spans="1:10" s="11" customFormat="1" ht="11.25" customHeight="1">
      <c r="A447" s="82" t="s">
        <v>131</v>
      </c>
      <c r="B447" s="86" t="s">
        <v>338</v>
      </c>
      <c r="C447" s="86" t="s">
        <v>65</v>
      </c>
      <c r="D447" s="86" t="s">
        <v>66</v>
      </c>
      <c r="E447" s="86" t="s">
        <v>98</v>
      </c>
      <c r="F447" s="81">
        <v>725</v>
      </c>
      <c r="G447" s="166">
        <f>719.8-60</f>
        <v>659.8</v>
      </c>
      <c r="H447" s="166">
        <f>480.4+150.9</f>
        <v>631.29999999999995</v>
      </c>
      <c r="I447" s="166">
        <f t="shared" si="67"/>
        <v>28.5</v>
      </c>
      <c r="J447" s="165">
        <f t="shared" si="68"/>
        <v>95.680509245225835</v>
      </c>
    </row>
    <row r="448" spans="1:10" s="11" customFormat="1" ht="22.5">
      <c r="A448" s="82" t="s">
        <v>132</v>
      </c>
      <c r="B448" s="86" t="s">
        <v>338</v>
      </c>
      <c r="C448" s="86" t="s">
        <v>65</v>
      </c>
      <c r="D448" s="86" t="s">
        <v>66</v>
      </c>
      <c r="E448" s="86" t="s">
        <v>98</v>
      </c>
      <c r="F448" s="81">
        <v>726</v>
      </c>
      <c r="G448" s="166">
        <f>580.8-110.4</f>
        <v>470.4</v>
      </c>
      <c r="H448" s="166">
        <v>444.7</v>
      </c>
      <c r="I448" s="166">
        <f t="shared" si="67"/>
        <v>25.699999999999989</v>
      </c>
      <c r="J448" s="165">
        <f t="shared" si="68"/>
        <v>94.536564625850332</v>
      </c>
    </row>
    <row r="449" spans="1:10" s="58" customFormat="1" ht="42.75" customHeight="1">
      <c r="A449" s="89" t="s">
        <v>377</v>
      </c>
      <c r="B449" s="88" t="s">
        <v>339</v>
      </c>
      <c r="C449" s="88"/>
      <c r="D449" s="88"/>
      <c r="E449" s="88"/>
      <c r="F449" s="76"/>
      <c r="G449" s="163">
        <f t="shared" ref="G449:H453" si="78">G450</f>
        <v>58976.9</v>
      </c>
      <c r="H449" s="163">
        <f t="shared" si="78"/>
        <v>58975.199999999997</v>
      </c>
      <c r="I449" s="163">
        <f t="shared" si="67"/>
        <v>1.7000000000043656</v>
      </c>
      <c r="J449" s="164">
        <f t="shared" si="68"/>
        <v>99.997117515501827</v>
      </c>
    </row>
    <row r="450" spans="1:10" s="58" customFormat="1">
      <c r="A450" s="79" t="s">
        <v>7</v>
      </c>
      <c r="B450" s="88" t="s">
        <v>339</v>
      </c>
      <c r="C450" s="88" t="s">
        <v>65</v>
      </c>
      <c r="D450" s="88" t="s">
        <v>33</v>
      </c>
      <c r="E450" s="88"/>
      <c r="F450" s="76"/>
      <c r="G450" s="163">
        <f t="shared" si="78"/>
        <v>58976.9</v>
      </c>
      <c r="H450" s="163">
        <f t="shared" si="78"/>
        <v>58975.199999999997</v>
      </c>
      <c r="I450" s="163">
        <f t="shared" si="67"/>
        <v>1.7000000000043656</v>
      </c>
      <c r="J450" s="164">
        <f t="shared" si="68"/>
        <v>99.997117515501827</v>
      </c>
    </row>
    <row r="451" spans="1:10" s="11" customFormat="1">
      <c r="A451" s="85" t="s">
        <v>8</v>
      </c>
      <c r="B451" s="86" t="s">
        <v>339</v>
      </c>
      <c r="C451" s="86" t="s">
        <v>65</v>
      </c>
      <c r="D451" s="86" t="s">
        <v>62</v>
      </c>
      <c r="E451" s="86"/>
      <c r="F451" s="81"/>
      <c r="G451" s="166">
        <f t="shared" si="78"/>
        <v>58976.9</v>
      </c>
      <c r="H451" s="166">
        <f t="shared" si="78"/>
        <v>58975.199999999997</v>
      </c>
      <c r="I451" s="166">
        <f t="shared" si="67"/>
        <v>1.7000000000043656</v>
      </c>
      <c r="J451" s="165">
        <f t="shared" si="68"/>
        <v>99.997117515501827</v>
      </c>
    </row>
    <row r="452" spans="1:10" s="11" customFormat="1" ht="22.5">
      <c r="A452" s="85" t="s">
        <v>93</v>
      </c>
      <c r="B452" s="86" t="s">
        <v>339</v>
      </c>
      <c r="C452" s="86" t="s">
        <v>65</v>
      </c>
      <c r="D452" s="86" t="s">
        <v>62</v>
      </c>
      <c r="E452" s="86" t="s">
        <v>94</v>
      </c>
      <c r="F452" s="81"/>
      <c r="G452" s="166">
        <f t="shared" si="78"/>
        <v>58976.9</v>
      </c>
      <c r="H452" s="166">
        <f t="shared" si="78"/>
        <v>58975.199999999997</v>
      </c>
      <c r="I452" s="166">
        <f t="shared" si="67"/>
        <v>1.7000000000043656</v>
      </c>
      <c r="J452" s="165">
        <f t="shared" si="68"/>
        <v>99.997117515501827</v>
      </c>
    </row>
    <row r="453" spans="1:10" s="11" customFormat="1">
      <c r="A453" s="85" t="s">
        <v>97</v>
      </c>
      <c r="B453" s="86" t="s">
        <v>339</v>
      </c>
      <c r="C453" s="86" t="s">
        <v>65</v>
      </c>
      <c r="D453" s="86" t="s">
        <v>62</v>
      </c>
      <c r="E453" s="86" t="s">
        <v>98</v>
      </c>
      <c r="F453" s="81"/>
      <c r="G453" s="166">
        <f t="shared" si="78"/>
        <v>58976.9</v>
      </c>
      <c r="H453" s="166">
        <f t="shared" si="78"/>
        <v>58975.199999999997</v>
      </c>
      <c r="I453" s="166">
        <f t="shared" si="67"/>
        <v>1.7000000000043656</v>
      </c>
      <c r="J453" s="165">
        <f t="shared" si="68"/>
        <v>99.997117515501827</v>
      </c>
    </row>
    <row r="454" spans="1:10" s="11" customFormat="1" ht="10.5" customHeight="1">
      <c r="A454" s="82" t="s">
        <v>131</v>
      </c>
      <c r="B454" s="86" t="s">
        <v>339</v>
      </c>
      <c r="C454" s="86" t="s">
        <v>65</v>
      </c>
      <c r="D454" s="86" t="s">
        <v>62</v>
      </c>
      <c r="E454" s="86" t="s">
        <v>98</v>
      </c>
      <c r="F454" s="81">
        <v>725</v>
      </c>
      <c r="G454" s="166">
        <f>52310.3+6666.6</f>
        <v>58976.9</v>
      </c>
      <c r="H454" s="166">
        <f>44858.7+11290.2+2826.3</f>
        <v>58975.199999999997</v>
      </c>
      <c r="I454" s="166">
        <f t="shared" si="67"/>
        <v>1.7000000000043656</v>
      </c>
      <c r="J454" s="165">
        <f t="shared" si="68"/>
        <v>99.997117515501827</v>
      </c>
    </row>
    <row r="455" spans="1:10" s="58" customFormat="1" ht="21.75">
      <c r="A455" s="89" t="s">
        <v>378</v>
      </c>
      <c r="B455" s="88" t="s">
        <v>342</v>
      </c>
      <c r="C455" s="88"/>
      <c r="D455" s="88"/>
      <c r="E455" s="88"/>
      <c r="F455" s="76"/>
      <c r="G455" s="163">
        <f t="shared" ref="G455:H459" si="79">G456</f>
        <v>1117.6000000000001</v>
      </c>
      <c r="H455" s="163">
        <f t="shared" si="79"/>
        <v>1100</v>
      </c>
      <c r="I455" s="163">
        <f t="shared" si="67"/>
        <v>17.600000000000136</v>
      </c>
      <c r="J455" s="164">
        <f t="shared" si="68"/>
        <v>98.425196850393689</v>
      </c>
    </row>
    <row r="456" spans="1:10" s="58" customFormat="1">
      <c r="A456" s="79" t="s">
        <v>7</v>
      </c>
      <c r="B456" s="88" t="s">
        <v>342</v>
      </c>
      <c r="C456" s="88" t="s">
        <v>65</v>
      </c>
      <c r="D456" s="88" t="s">
        <v>33</v>
      </c>
      <c r="E456" s="88"/>
      <c r="F456" s="76"/>
      <c r="G456" s="163">
        <f t="shared" si="79"/>
        <v>1117.6000000000001</v>
      </c>
      <c r="H456" s="163">
        <f t="shared" si="79"/>
        <v>1100</v>
      </c>
      <c r="I456" s="163">
        <f t="shared" si="67"/>
        <v>17.600000000000136</v>
      </c>
      <c r="J456" s="164">
        <f t="shared" si="68"/>
        <v>98.425196850393689</v>
      </c>
    </row>
    <row r="457" spans="1:10" s="11" customFormat="1">
      <c r="A457" s="85" t="s">
        <v>9</v>
      </c>
      <c r="B457" s="86" t="s">
        <v>342</v>
      </c>
      <c r="C457" s="86" t="s">
        <v>65</v>
      </c>
      <c r="D457" s="86" t="s">
        <v>63</v>
      </c>
      <c r="E457" s="86"/>
      <c r="F457" s="81"/>
      <c r="G457" s="166">
        <f t="shared" si="79"/>
        <v>1117.6000000000001</v>
      </c>
      <c r="H457" s="166">
        <f t="shared" si="79"/>
        <v>1100</v>
      </c>
      <c r="I457" s="166">
        <f t="shared" ref="I457:I520" si="80">G457-H457</f>
        <v>17.600000000000136</v>
      </c>
      <c r="J457" s="165">
        <f t="shared" ref="J457:J520" si="81">H457/G457*100</f>
        <v>98.425196850393689</v>
      </c>
    </row>
    <row r="458" spans="1:10" s="11" customFormat="1" ht="22.5">
      <c r="A458" s="85" t="s">
        <v>93</v>
      </c>
      <c r="B458" s="86" t="s">
        <v>342</v>
      </c>
      <c r="C458" s="86" t="s">
        <v>65</v>
      </c>
      <c r="D458" s="86" t="s">
        <v>63</v>
      </c>
      <c r="E458" s="86" t="s">
        <v>94</v>
      </c>
      <c r="F458" s="81"/>
      <c r="G458" s="166">
        <f t="shared" si="79"/>
        <v>1117.6000000000001</v>
      </c>
      <c r="H458" s="166">
        <f t="shared" si="79"/>
        <v>1100</v>
      </c>
      <c r="I458" s="166">
        <f t="shared" si="80"/>
        <v>17.600000000000136</v>
      </c>
      <c r="J458" s="165">
        <f t="shared" si="81"/>
        <v>98.425196850393689</v>
      </c>
    </row>
    <row r="459" spans="1:10" s="11" customFormat="1">
      <c r="A459" s="85" t="s">
        <v>97</v>
      </c>
      <c r="B459" s="86" t="s">
        <v>342</v>
      </c>
      <c r="C459" s="86" t="s">
        <v>65</v>
      </c>
      <c r="D459" s="86" t="s">
        <v>63</v>
      </c>
      <c r="E459" s="86" t="s">
        <v>98</v>
      </c>
      <c r="F459" s="81"/>
      <c r="G459" s="166">
        <f t="shared" si="79"/>
        <v>1117.6000000000001</v>
      </c>
      <c r="H459" s="166">
        <f t="shared" si="79"/>
        <v>1100</v>
      </c>
      <c r="I459" s="166">
        <f t="shared" si="80"/>
        <v>17.600000000000136</v>
      </c>
      <c r="J459" s="165">
        <f t="shared" si="81"/>
        <v>98.425196850393689</v>
      </c>
    </row>
    <row r="460" spans="1:10" s="11" customFormat="1" ht="22.5">
      <c r="A460" s="82" t="s">
        <v>131</v>
      </c>
      <c r="B460" s="86" t="s">
        <v>342</v>
      </c>
      <c r="C460" s="86" t="s">
        <v>65</v>
      </c>
      <c r="D460" s="86" t="s">
        <v>63</v>
      </c>
      <c r="E460" s="86" t="s">
        <v>98</v>
      </c>
      <c r="F460" s="81">
        <v>725</v>
      </c>
      <c r="G460" s="166">
        <f>1210.9-87.3-6</f>
        <v>1117.6000000000001</v>
      </c>
      <c r="H460" s="166">
        <f>847.4+252.6</f>
        <v>1100</v>
      </c>
      <c r="I460" s="166">
        <f t="shared" si="80"/>
        <v>17.600000000000136</v>
      </c>
      <c r="J460" s="165">
        <f t="shared" si="81"/>
        <v>98.425196850393689</v>
      </c>
    </row>
    <row r="461" spans="1:10" s="58" customFormat="1" ht="42" customHeight="1">
      <c r="A461" s="89" t="s">
        <v>379</v>
      </c>
      <c r="B461" s="88" t="s">
        <v>340</v>
      </c>
      <c r="C461" s="88"/>
      <c r="D461" s="88"/>
      <c r="E461" s="88"/>
      <c r="F461" s="76"/>
      <c r="G461" s="163">
        <f>G462</f>
        <v>9519.8999999999978</v>
      </c>
      <c r="H461" s="163">
        <f>H462</f>
        <v>9519.9000000000015</v>
      </c>
      <c r="I461" s="163">
        <f t="shared" si="80"/>
        <v>0</v>
      </c>
      <c r="J461" s="164">
        <f t="shared" si="81"/>
        <v>100.00000000000004</v>
      </c>
    </row>
    <row r="462" spans="1:10" s="58" customFormat="1">
      <c r="A462" s="79" t="s">
        <v>7</v>
      </c>
      <c r="B462" s="88" t="s">
        <v>340</v>
      </c>
      <c r="C462" s="88" t="s">
        <v>65</v>
      </c>
      <c r="D462" s="88" t="s">
        <v>33</v>
      </c>
      <c r="E462" s="88"/>
      <c r="F462" s="76"/>
      <c r="G462" s="163">
        <f>G463+G467+G471</f>
        <v>9519.8999999999978</v>
      </c>
      <c r="H462" s="163">
        <f>H463+H467+H471</f>
        <v>9519.9000000000015</v>
      </c>
      <c r="I462" s="163">
        <f t="shared" si="80"/>
        <v>0</v>
      </c>
      <c r="J462" s="164">
        <f t="shared" si="81"/>
        <v>100.00000000000004</v>
      </c>
    </row>
    <row r="463" spans="1:10" s="11" customFormat="1">
      <c r="A463" s="85" t="s">
        <v>8</v>
      </c>
      <c r="B463" s="86" t="s">
        <v>340</v>
      </c>
      <c r="C463" s="86" t="s">
        <v>65</v>
      </c>
      <c r="D463" s="86" t="s">
        <v>62</v>
      </c>
      <c r="E463" s="86"/>
      <c r="F463" s="81"/>
      <c r="G463" s="166">
        <f t="shared" ref="G463:H465" si="82">G464</f>
        <v>2216.6</v>
      </c>
      <c r="H463" s="166">
        <f t="shared" si="82"/>
        <v>2216.6</v>
      </c>
      <c r="I463" s="166">
        <f t="shared" si="80"/>
        <v>0</v>
      </c>
      <c r="J463" s="165">
        <f t="shared" si="81"/>
        <v>100</v>
      </c>
    </row>
    <row r="464" spans="1:10" s="11" customFormat="1" ht="22.5">
      <c r="A464" s="85" t="s">
        <v>93</v>
      </c>
      <c r="B464" s="86" t="s">
        <v>340</v>
      </c>
      <c r="C464" s="86" t="s">
        <v>65</v>
      </c>
      <c r="D464" s="86" t="s">
        <v>62</v>
      </c>
      <c r="E464" s="86" t="s">
        <v>94</v>
      </c>
      <c r="F464" s="81"/>
      <c r="G464" s="166">
        <f t="shared" si="82"/>
        <v>2216.6</v>
      </c>
      <c r="H464" s="166">
        <f t="shared" si="82"/>
        <v>2216.6</v>
      </c>
      <c r="I464" s="166">
        <f t="shared" si="80"/>
        <v>0</v>
      </c>
      <c r="J464" s="165">
        <f t="shared" si="81"/>
        <v>100</v>
      </c>
    </row>
    <row r="465" spans="1:10" s="11" customFormat="1">
      <c r="A465" s="85" t="s">
        <v>97</v>
      </c>
      <c r="B465" s="86" t="s">
        <v>340</v>
      </c>
      <c r="C465" s="86" t="s">
        <v>65</v>
      </c>
      <c r="D465" s="86" t="s">
        <v>62</v>
      </c>
      <c r="E465" s="86" t="s">
        <v>98</v>
      </c>
      <c r="F465" s="81"/>
      <c r="G465" s="166">
        <f t="shared" si="82"/>
        <v>2216.6</v>
      </c>
      <c r="H465" s="166">
        <f t="shared" si="82"/>
        <v>2216.6</v>
      </c>
      <c r="I465" s="166">
        <f t="shared" si="80"/>
        <v>0</v>
      </c>
      <c r="J465" s="165">
        <f t="shared" si="81"/>
        <v>100</v>
      </c>
    </row>
    <row r="466" spans="1:10" s="11" customFormat="1" ht="22.5">
      <c r="A466" s="82" t="s">
        <v>131</v>
      </c>
      <c r="B466" s="86" t="s">
        <v>340</v>
      </c>
      <c r="C466" s="86" t="s">
        <v>65</v>
      </c>
      <c r="D466" s="86" t="s">
        <v>62</v>
      </c>
      <c r="E466" s="86" t="s">
        <v>98</v>
      </c>
      <c r="F466" s="81">
        <v>725</v>
      </c>
      <c r="G466" s="166">
        <f>1771.5+445.1</f>
        <v>2216.6</v>
      </c>
      <c r="H466" s="166">
        <v>2216.6</v>
      </c>
      <c r="I466" s="166">
        <f t="shared" si="80"/>
        <v>0</v>
      </c>
      <c r="J466" s="165">
        <f t="shared" si="81"/>
        <v>100</v>
      </c>
    </row>
    <row r="467" spans="1:10" s="11" customFormat="1">
      <c r="A467" s="85" t="s">
        <v>9</v>
      </c>
      <c r="B467" s="86" t="s">
        <v>340</v>
      </c>
      <c r="C467" s="86" t="s">
        <v>65</v>
      </c>
      <c r="D467" s="86" t="s">
        <v>63</v>
      </c>
      <c r="E467" s="86"/>
      <c r="F467" s="81"/>
      <c r="G467" s="166">
        <f>G468</f>
        <v>5092.0999999999995</v>
      </c>
      <c r="H467" s="166">
        <f>H468</f>
        <v>5092.1000000000004</v>
      </c>
      <c r="I467" s="166">
        <f t="shared" si="80"/>
        <v>0</v>
      </c>
      <c r="J467" s="165">
        <f t="shared" si="81"/>
        <v>100.00000000000003</v>
      </c>
    </row>
    <row r="468" spans="1:10" s="11" customFormat="1" ht="22.5">
      <c r="A468" s="85" t="s">
        <v>93</v>
      </c>
      <c r="B468" s="86" t="s">
        <v>340</v>
      </c>
      <c r="C468" s="86" t="s">
        <v>65</v>
      </c>
      <c r="D468" s="86" t="s">
        <v>63</v>
      </c>
      <c r="E468" s="86" t="s">
        <v>94</v>
      </c>
      <c r="F468" s="81"/>
      <c r="G468" s="166">
        <f>G470</f>
        <v>5092.0999999999995</v>
      </c>
      <c r="H468" s="166">
        <f>H470</f>
        <v>5092.1000000000004</v>
      </c>
      <c r="I468" s="166">
        <f t="shared" si="80"/>
        <v>0</v>
      </c>
      <c r="J468" s="165">
        <f t="shared" si="81"/>
        <v>100.00000000000003</v>
      </c>
    </row>
    <row r="469" spans="1:10" s="11" customFormat="1">
      <c r="A469" s="85" t="s">
        <v>97</v>
      </c>
      <c r="B469" s="86" t="s">
        <v>340</v>
      </c>
      <c r="C469" s="86" t="s">
        <v>65</v>
      </c>
      <c r="D469" s="86" t="s">
        <v>63</v>
      </c>
      <c r="E469" s="86" t="s">
        <v>98</v>
      </c>
      <c r="F469" s="81"/>
      <c r="G469" s="166">
        <f>G470</f>
        <v>5092.0999999999995</v>
      </c>
      <c r="H469" s="166">
        <f>H470</f>
        <v>5092.1000000000004</v>
      </c>
      <c r="I469" s="166">
        <f t="shared" si="80"/>
        <v>0</v>
      </c>
      <c r="J469" s="165">
        <f t="shared" si="81"/>
        <v>100.00000000000003</v>
      </c>
    </row>
    <row r="470" spans="1:10" s="11" customFormat="1" ht="22.5">
      <c r="A470" s="82" t="s">
        <v>131</v>
      </c>
      <c r="B470" s="86" t="s">
        <v>340</v>
      </c>
      <c r="C470" s="86" t="s">
        <v>65</v>
      </c>
      <c r="D470" s="86" t="s">
        <v>63</v>
      </c>
      <c r="E470" s="86" t="s">
        <v>98</v>
      </c>
      <c r="F470" s="81">
        <v>725</v>
      </c>
      <c r="G470" s="166">
        <f>8826.4-3734.3</f>
        <v>5092.0999999999995</v>
      </c>
      <c r="H470" s="166">
        <v>5092.1000000000004</v>
      </c>
      <c r="I470" s="166">
        <f t="shared" si="80"/>
        <v>0</v>
      </c>
      <c r="J470" s="165">
        <f t="shared" si="81"/>
        <v>100.00000000000003</v>
      </c>
    </row>
    <row r="471" spans="1:10" s="11" customFormat="1">
      <c r="A471" s="82" t="s">
        <v>302</v>
      </c>
      <c r="B471" s="86" t="s">
        <v>340</v>
      </c>
      <c r="C471" s="86" t="s">
        <v>65</v>
      </c>
      <c r="D471" s="86" t="s">
        <v>66</v>
      </c>
      <c r="E471" s="86"/>
      <c r="F471" s="81"/>
      <c r="G471" s="166">
        <f>G472</f>
        <v>2211.1999999999998</v>
      </c>
      <c r="H471" s="166">
        <f>H472</f>
        <v>2211.1999999999998</v>
      </c>
      <c r="I471" s="166">
        <f t="shared" si="80"/>
        <v>0</v>
      </c>
      <c r="J471" s="165">
        <f t="shared" si="81"/>
        <v>100</v>
      </c>
    </row>
    <row r="472" spans="1:10" s="11" customFormat="1" ht="22.5">
      <c r="A472" s="85" t="s">
        <v>93</v>
      </c>
      <c r="B472" s="86" t="s">
        <v>340</v>
      </c>
      <c r="C472" s="86" t="s">
        <v>65</v>
      </c>
      <c r="D472" s="86" t="s">
        <v>66</v>
      </c>
      <c r="E472" s="86" t="s">
        <v>94</v>
      </c>
      <c r="F472" s="81"/>
      <c r="G472" s="166">
        <f>G473</f>
        <v>2211.1999999999998</v>
      </c>
      <c r="H472" s="166">
        <f>H473</f>
        <v>2211.1999999999998</v>
      </c>
      <c r="I472" s="166">
        <f t="shared" si="80"/>
        <v>0</v>
      </c>
      <c r="J472" s="165">
        <f t="shared" si="81"/>
        <v>100</v>
      </c>
    </row>
    <row r="473" spans="1:10" s="11" customFormat="1">
      <c r="A473" s="85" t="s">
        <v>97</v>
      </c>
      <c r="B473" s="86" t="s">
        <v>340</v>
      </c>
      <c r="C473" s="86" t="s">
        <v>65</v>
      </c>
      <c r="D473" s="86" t="s">
        <v>66</v>
      </c>
      <c r="E473" s="86" t="s">
        <v>98</v>
      </c>
      <c r="F473" s="81"/>
      <c r="G473" s="166">
        <f>G474+G475</f>
        <v>2211.1999999999998</v>
      </c>
      <c r="H473" s="166">
        <f>H474+H475</f>
        <v>2211.1999999999998</v>
      </c>
      <c r="I473" s="166">
        <f t="shared" si="80"/>
        <v>0</v>
      </c>
      <c r="J473" s="165">
        <f t="shared" si="81"/>
        <v>100</v>
      </c>
    </row>
    <row r="474" spans="1:10" s="11" customFormat="1" ht="22.5">
      <c r="A474" s="82" t="s">
        <v>131</v>
      </c>
      <c r="B474" s="86" t="s">
        <v>340</v>
      </c>
      <c r="C474" s="86" t="s">
        <v>65</v>
      </c>
      <c r="D474" s="86" t="s">
        <v>66</v>
      </c>
      <c r="E474" s="86" t="s">
        <v>98</v>
      </c>
      <c r="F474" s="81">
        <v>725</v>
      </c>
      <c r="G474" s="166">
        <f>950+200</f>
        <v>1150</v>
      </c>
      <c r="H474" s="166">
        <v>1150</v>
      </c>
      <c r="I474" s="166">
        <f t="shared" si="80"/>
        <v>0</v>
      </c>
      <c r="J474" s="165">
        <f t="shared" si="81"/>
        <v>100</v>
      </c>
    </row>
    <row r="475" spans="1:10" s="11" customFormat="1" ht="22.5">
      <c r="A475" s="82" t="s">
        <v>132</v>
      </c>
      <c r="B475" s="86" t="s">
        <v>340</v>
      </c>
      <c r="C475" s="86" t="s">
        <v>65</v>
      </c>
      <c r="D475" s="86" t="s">
        <v>66</v>
      </c>
      <c r="E475" s="86" t="s">
        <v>98</v>
      </c>
      <c r="F475" s="81">
        <v>726</v>
      </c>
      <c r="G475" s="166">
        <f>878+232-48.8</f>
        <v>1061.2</v>
      </c>
      <c r="H475" s="166">
        <f>1061.2</f>
        <v>1061.2</v>
      </c>
      <c r="I475" s="166">
        <f t="shared" si="80"/>
        <v>0</v>
      </c>
      <c r="J475" s="165">
        <f t="shared" si="81"/>
        <v>100</v>
      </c>
    </row>
    <row r="476" spans="1:10" s="58" customFormat="1" ht="36.6" customHeight="1">
      <c r="A476" s="172" t="s">
        <v>381</v>
      </c>
      <c r="B476" s="88" t="s">
        <v>293</v>
      </c>
      <c r="C476" s="88"/>
      <c r="D476" s="88"/>
      <c r="E476" s="88"/>
      <c r="F476" s="76"/>
      <c r="G476" s="163">
        <f t="shared" ref="G476:H478" si="83">G477</f>
        <v>2133.4</v>
      </c>
      <c r="H476" s="163">
        <f t="shared" si="83"/>
        <v>2133.4</v>
      </c>
      <c r="I476" s="163">
        <f t="shared" si="80"/>
        <v>0</v>
      </c>
      <c r="J476" s="164">
        <f t="shared" si="81"/>
        <v>100</v>
      </c>
    </row>
    <row r="477" spans="1:10" s="58" customFormat="1" ht="33.75" customHeight="1">
      <c r="A477" s="89" t="s">
        <v>380</v>
      </c>
      <c r="B477" s="88" t="s">
        <v>335</v>
      </c>
      <c r="C477" s="88"/>
      <c r="D477" s="88"/>
      <c r="E477" s="88"/>
      <c r="F477" s="76"/>
      <c r="G477" s="163">
        <f t="shared" si="83"/>
        <v>2133.4</v>
      </c>
      <c r="H477" s="163">
        <f t="shared" si="83"/>
        <v>2133.4</v>
      </c>
      <c r="I477" s="163">
        <f t="shared" si="80"/>
        <v>0</v>
      </c>
      <c r="J477" s="164">
        <f t="shared" si="81"/>
        <v>100</v>
      </c>
    </row>
    <row r="478" spans="1:10" s="58" customFormat="1">
      <c r="A478" s="79" t="s">
        <v>7</v>
      </c>
      <c r="B478" s="88" t="s">
        <v>335</v>
      </c>
      <c r="C478" s="88" t="s">
        <v>65</v>
      </c>
      <c r="D478" s="88" t="s">
        <v>33</v>
      </c>
      <c r="E478" s="88"/>
      <c r="F478" s="76"/>
      <c r="G478" s="163">
        <f t="shared" si="83"/>
        <v>2133.4</v>
      </c>
      <c r="H478" s="163">
        <f t="shared" si="83"/>
        <v>2133.4</v>
      </c>
      <c r="I478" s="163">
        <f t="shared" si="80"/>
        <v>0</v>
      </c>
      <c r="J478" s="164">
        <f t="shared" si="81"/>
        <v>100</v>
      </c>
    </row>
    <row r="479" spans="1:10" s="58" customFormat="1">
      <c r="A479" s="85" t="s">
        <v>10</v>
      </c>
      <c r="B479" s="86" t="s">
        <v>335</v>
      </c>
      <c r="C479" s="88" t="s">
        <v>65</v>
      </c>
      <c r="D479" s="88" t="s">
        <v>71</v>
      </c>
      <c r="E479" s="88"/>
      <c r="F479" s="76"/>
      <c r="G479" s="163">
        <f>G480+G483</f>
        <v>2133.4</v>
      </c>
      <c r="H479" s="163">
        <f>H480+H483</f>
        <v>2133.4</v>
      </c>
      <c r="I479" s="163">
        <f t="shared" si="80"/>
        <v>0</v>
      </c>
      <c r="J479" s="164">
        <f t="shared" si="81"/>
        <v>100</v>
      </c>
    </row>
    <row r="480" spans="1:10" s="11" customFormat="1" ht="45">
      <c r="A480" s="85" t="s">
        <v>90</v>
      </c>
      <c r="B480" s="86" t="s">
        <v>335</v>
      </c>
      <c r="C480" s="86" t="s">
        <v>65</v>
      </c>
      <c r="D480" s="86" t="s">
        <v>71</v>
      </c>
      <c r="E480" s="86" t="s">
        <v>91</v>
      </c>
      <c r="F480" s="81"/>
      <c r="G480" s="166">
        <f>G481</f>
        <v>1825</v>
      </c>
      <c r="H480" s="166">
        <f>H481</f>
        <v>1825</v>
      </c>
      <c r="I480" s="166">
        <f t="shared" si="80"/>
        <v>0</v>
      </c>
      <c r="J480" s="165">
        <f t="shared" si="81"/>
        <v>100</v>
      </c>
    </row>
    <row r="481" spans="1:10" s="11" customFormat="1" ht="22.5">
      <c r="A481" s="85" t="s">
        <v>87</v>
      </c>
      <c r="B481" s="86" t="s">
        <v>335</v>
      </c>
      <c r="C481" s="86" t="s">
        <v>65</v>
      </c>
      <c r="D481" s="86" t="s">
        <v>71</v>
      </c>
      <c r="E481" s="86" t="s">
        <v>88</v>
      </c>
      <c r="F481" s="81"/>
      <c r="G481" s="166">
        <f>G482</f>
        <v>1825</v>
      </c>
      <c r="H481" s="166">
        <f>H482</f>
        <v>1825</v>
      </c>
      <c r="I481" s="166">
        <f t="shared" si="80"/>
        <v>0</v>
      </c>
      <c r="J481" s="165">
        <f t="shared" si="81"/>
        <v>100</v>
      </c>
    </row>
    <row r="482" spans="1:10" s="11" customFormat="1">
      <c r="A482" s="85" t="s">
        <v>128</v>
      </c>
      <c r="B482" s="86" t="s">
        <v>335</v>
      </c>
      <c r="C482" s="86" t="s">
        <v>65</v>
      </c>
      <c r="D482" s="86" t="s">
        <v>71</v>
      </c>
      <c r="E482" s="86" t="s">
        <v>88</v>
      </c>
      <c r="F482" s="81">
        <v>721</v>
      </c>
      <c r="G482" s="166">
        <f>2360.6-535.6</f>
        <v>1825</v>
      </c>
      <c r="H482" s="166">
        <f>1400+425</f>
        <v>1825</v>
      </c>
      <c r="I482" s="166">
        <f t="shared" si="80"/>
        <v>0</v>
      </c>
      <c r="J482" s="165">
        <f t="shared" si="81"/>
        <v>100</v>
      </c>
    </row>
    <row r="483" spans="1:10" s="11" customFormat="1" ht="22.5">
      <c r="A483" s="85" t="s">
        <v>331</v>
      </c>
      <c r="B483" s="86" t="s">
        <v>335</v>
      </c>
      <c r="C483" s="86" t="s">
        <v>65</v>
      </c>
      <c r="D483" s="86" t="s">
        <v>71</v>
      </c>
      <c r="E483" s="86" t="s">
        <v>92</v>
      </c>
      <c r="F483" s="81"/>
      <c r="G483" s="166">
        <f>G484</f>
        <v>308.39999999999998</v>
      </c>
      <c r="H483" s="166">
        <f>H484</f>
        <v>308.39999999999998</v>
      </c>
      <c r="I483" s="166">
        <f t="shared" si="80"/>
        <v>0</v>
      </c>
      <c r="J483" s="165">
        <f t="shared" si="81"/>
        <v>100</v>
      </c>
    </row>
    <row r="484" spans="1:10" s="11" customFormat="1" ht="22.5">
      <c r="A484" s="85" t="s">
        <v>558</v>
      </c>
      <c r="B484" s="86" t="s">
        <v>335</v>
      </c>
      <c r="C484" s="86" t="s">
        <v>65</v>
      </c>
      <c r="D484" s="86" t="s">
        <v>71</v>
      </c>
      <c r="E484" s="86" t="s">
        <v>89</v>
      </c>
      <c r="F484" s="81"/>
      <c r="G484" s="166">
        <f>G485</f>
        <v>308.39999999999998</v>
      </c>
      <c r="H484" s="166">
        <f>H485</f>
        <v>308.39999999999998</v>
      </c>
      <c r="I484" s="166">
        <f t="shared" si="80"/>
        <v>0</v>
      </c>
      <c r="J484" s="165">
        <f t="shared" si="81"/>
        <v>100</v>
      </c>
    </row>
    <row r="485" spans="1:10" s="11" customFormat="1">
      <c r="A485" s="85" t="s">
        <v>128</v>
      </c>
      <c r="B485" s="86" t="s">
        <v>335</v>
      </c>
      <c r="C485" s="86" t="s">
        <v>65</v>
      </c>
      <c r="D485" s="86" t="s">
        <v>71</v>
      </c>
      <c r="E485" s="86" t="s">
        <v>89</v>
      </c>
      <c r="F485" s="81">
        <v>721</v>
      </c>
      <c r="G485" s="166">
        <f>510.4-202</f>
        <v>308.39999999999998</v>
      </c>
      <c r="H485" s="166">
        <v>308.39999999999998</v>
      </c>
      <c r="I485" s="166">
        <f t="shared" si="80"/>
        <v>0</v>
      </c>
      <c r="J485" s="165">
        <f t="shared" si="81"/>
        <v>100</v>
      </c>
    </row>
    <row r="486" spans="1:10" s="58" customFormat="1" ht="32.25">
      <c r="A486" s="89" t="s">
        <v>382</v>
      </c>
      <c r="B486" s="88" t="s">
        <v>383</v>
      </c>
      <c r="C486" s="88"/>
      <c r="D486" s="88"/>
      <c r="E486" s="88"/>
      <c r="F486" s="76"/>
      <c r="G486" s="163">
        <f>G487+G496+G502</f>
        <v>4003.8999999999996</v>
      </c>
      <c r="H486" s="163">
        <f>H487+H496+H502</f>
        <v>4003.8999999999996</v>
      </c>
      <c r="I486" s="163">
        <f t="shared" si="80"/>
        <v>0</v>
      </c>
      <c r="J486" s="164">
        <f t="shared" si="81"/>
        <v>100</v>
      </c>
    </row>
    <row r="487" spans="1:10" s="58" customFormat="1" ht="32.25">
      <c r="A487" s="89" t="s">
        <v>539</v>
      </c>
      <c r="B487" s="88" t="s">
        <v>384</v>
      </c>
      <c r="C487" s="88"/>
      <c r="D487" s="88"/>
      <c r="E487" s="88"/>
      <c r="F487" s="76"/>
      <c r="G487" s="163">
        <f>G488</f>
        <v>2603.8999999999996</v>
      </c>
      <c r="H487" s="163">
        <f>H488</f>
        <v>2603.8999999999996</v>
      </c>
      <c r="I487" s="163">
        <f t="shared" si="80"/>
        <v>0</v>
      </c>
      <c r="J487" s="164">
        <f t="shared" si="81"/>
        <v>100</v>
      </c>
    </row>
    <row r="488" spans="1:10" s="58" customFormat="1">
      <c r="A488" s="89" t="s">
        <v>58</v>
      </c>
      <c r="B488" s="88" t="s">
        <v>384</v>
      </c>
      <c r="C488" s="88" t="s">
        <v>67</v>
      </c>
      <c r="D488" s="88" t="s">
        <v>33</v>
      </c>
      <c r="E488" s="88"/>
      <c r="F488" s="76"/>
      <c r="G488" s="163">
        <f>G489</f>
        <v>2603.8999999999996</v>
      </c>
      <c r="H488" s="163">
        <f>H489</f>
        <v>2603.8999999999996</v>
      </c>
      <c r="I488" s="163">
        <f t="shared" si="80"/>
        <v>0</v>
      </c>
      <c r="J488" s="164">
        <f t="shared" si="81"/>
        <v>100</v>
      </c>
    </row>
    <row r="489" spans="1:10" s="58" customFormat="1">
      <c r="A489" s="85" t="s">
        <v>127</v>
      </c>
      <c r="B489" s="86" t="s">
        <v>384</v>
      </c>
      <c r="C489" s="86" t="s">
        <v>67</v>
      </c>
      <c r="D489" s="86" t="s">
        <v>72</v>
      </c>
      <c r="E489" s="88"/>
      <c r="F489" s="76"/>
      <c r="G489" s="163">
        <f>G490+G493</f>
        <v>2603.8999999999996</v>
      </c>
      <c r="H489" s="163">
        <f>H490+H493</f>
        <v>2603.8999999999996</v>
      </c>
      <c r="I489" s="163">
        <f t="shared" si="80"/>
        <v>0</v>
      </c>
      <c r="J489" s="164">
        <f t="shared" si="81"/>
        <v>100</v>
      </c>
    </row>
    <row r="490" spans="1:10" s="11" customFormat="1" ht="45">
      <c r="A490" s="85" t="s">
        <v>90</v>
      </c>
      <c r="B490" s="86" t="s">
        <v>384</v>
      </c>
      <c r="C490" s="86" t="s">
        <v>67</v>
      </c>
      <c r="D490" s="86" t="s">
        <v>72</v>
      </c>
      <c r="E490" s="86" t="s">
        <v>91</v>
      </c>
      <c r="F490" s="81"/>
      <c r="G490" s="166">
        <f>G491</f>
        <v>2320.1999999999998</v>
      </c>
      <c r="H490" s="166">
        <f>H491</f>
        <v>2320.1999999999998</v>
      </c>
      <c r="I490" s="166">
        <f t="shared" si="80"/>
        <v>0</v>
      </c>
      <c r="J490" s="165">
        <f t="shared" si="81"/>
        <v>100</v>
      </c>
    </row>
    <row r="491" spans="1:10" s="11" customFormat="1" ht="22.5">
      <c r="A491" s="85" t="s">
        <v>87</v>
      </c>
      <c r="B491" s="86" t="s">
        <v>384</v>
      </c>
      <c r="C491" s="86" t="s">
        <v>67</v>
      </c>
      <c r="D491" s="86" t="s">
        <v>72</v>
      </c>
      <c r="E491" s="86" t="s">
        <v>88</v>
      </c>
      <c r="F491" s="81"/>
      <c r="G491" s="166">
        <f>G492</f>
        <v>2320.1999999999998</v>
      </c>
      <c r="H491" s="166">
        <f>H492</f>
        <v>2320.1999999999998</v>
      </c>
      <c r="I491" s="166">
        <f t="shared" si="80"/>
        <v>0</v>
      </c>
      <c r="J491" s="165">
        <f t="shared" si="81"/>
        <v>100</v>
      </c>
    </row>
    <row r="492" spans="1:10" s="11" customFormat="1">
      <c r="A492" s="85" t="s">
        <v>128</v>
      </c>
      <c r="B492" s="86" t="s">
        <v>384</v>
      </c>
      <c r="C492" s="86" t="s">
        <v>67</v>
      </c>
      <c r="D492" s="86" t="s">
        <v>72</v>
      </c>
      <c r="E492" s="86" t="s">
        <v>88</v>
      </c>
      <c r="F492" s="81">
        <v>721</v>
      </c>
      <c r="G492" s="166">
        <f>2420.2-100</f>
        <v>2320.1999999999998</v>
      </c>
      <c r="H492" s="166">
        <f>1812.6+507.6</f>
        <v>2320.1999999999998</v>
      </c>
      <c r="I492" s="166">
        <f t="shared" si="80"/>
        <v>0</v>
      </c>
      <c r="J492" s="165">
        <f t="shared" si="81"/>
        <v>100</v>
      </c>
    </row>
    <row r="493" spans="1:10" s="11" customFormat="1" ht="22.5">
      <c r="A493" s="85" t="s">
        <v>331</v>
      </c>
      <c r="B493" s="86" t="s">
        <v>384</v>
      </c>
      <c r="C493" s="86" t="s">
        <v>67</v>
      </c>
      <c r="D493" s="86" t="s">
        <v>72</v>
      </c>
      <c r="E493" s="86" t="s">
        <v>92</v>
      </c>
      <c r="F493" s="81"/>
      <c r="G493" s="166">
        <f>G494</f>
        <v>283.7</v>
      </c>
      <c r="H493" s="166">
        <f>H494</f>
        <v>283.7</v>
      </c>
      <c r="I493" s="166">
        <f t="shared" si="80"/>
        <v>0</v>
      </c>
      <c r="J493" s="165">
        <f t="shared" si="81"/>
        <v>100</v>
      </c>
    </row>
    <row r="494" spans="1:10" s="11" customFormat="1" ht="22.5">
      <c r="A494" s="85" t="s">
        <v>558</v>
      </c>
      <c r="B494" s="86" t="s">
        <v>384</v>
      </c>
      <c r="C494" s="86" t="s">
        <v>67</v>
      </c>
      <c r="D494" s="86" t="s">
        <v>72</v>
      </c>
      <c r="E494" s="86" t="s">
        <v>89</v>
      </c>
      <c r="F494" s="81"/>
      <c r="G494" s="166">
        <f>G495</f>
        <v>283.7</v>
      </c>
      <c r="H494" s="166">
        <f>H495</f>
        <v>283.7</v>
      </c>
      <c r="I494" s="166">
        <f t="shared" si="80"/>
        <v>0</v>
      </c>
      <c r="J494" s="165">
        <f t="shared" si="81"/>
        <v>100</v>
      </c>
    </row>
    <row r="495" spans="1:10" s="11" customFormat="1">
      <c r="A495" s="85" t="s">
        <v>128</v>
      </c>
      <c r="B495" s="86" t="s">
        <v>384</v>
      </c>
      <c r="C495" s="86" t="s">
        <v>67</v>
      </c>
      <c r="D495" s="86" t="s">
        <v>72</v>
      </c>
      <c r="E495" s="86" t="s">
        <v>89</v>
      </c>
      <c r="F495" s="81">
        <v>721</v>
      </c>
      <c r="G495" s="166">
        <f>183.7+100</f>
        <v>283.7</v>
      </c>
      <c r="H495" s="166">
        <v>283.7</v>
      </c>
      <c r="I495" s="166">
        <f t="shared" si="80"/>
        <v>0</v>
      </c>
      <c r="J495" s="165">
        <f t="shared" si="81"/>
        <v>100</v>
      </c>
    </row>
    <row r="496" spans="1:10" s="11" customFormat="1" ht="53.25">
      <c r="A496" s="115" t="s">
        <v>601</v>
      </c>
      <c r="B496" s="77" t="s">
        <v>602</v>
      </c>
      <c r="C496" s="173"/>
      <c r="D496" s="88"/>
      <c r="E496" s="88"/>
      <c r="F496" s="76"/>
      <c r="G496" s="163">
        <f t="shared" ref="G496:H500" si="84">G497</f>
        <v>1162.2</v>
      </c>
      <c r="H496" s="163">
        <f t="shared" si="84"/>
        <v>1162.2</v>
      </c>
      <c r="I496" s="163">
        <f t="shared" si="80"/>
        <v>0</v>
      </c>
      <c r="J496" s="164">
        <f t="shared" si="81"/>
        <v>100</v>
      </c>
    </row>
    <row r="497" spans="1:10" s="11" customFormat="1" ht="15.6" customHeight="1">
      <c r="A497" s="79" t="s">
        <v>2</v>
      </c>
      <c r="B497" s="83" t="s">
        <v>602</v>
      </c>
      <c r="C497" s="80" t="s">
        <v>62</v>
      </c>
      <c r="D497" s="80" t="s">
        <v>33</v>
      </c>
      <c r="E497" s="88"/>
      <c r="F497" s="76"/>
      <c r="G497" s="166">
        <f t="shared" si="84"/>
        <v>1162.2</v>
      </c>
      <c r="H497" s="166">
        <f t="shared" si="84"/>
        <v>1162.2</v>
      </c>
      <c r="I497" s="166">
        <f t="shared" si="80"/>
        <v>0</v>
      </c>
      <c r="J497" s="165">
        <f t="shared" si="81"/>
        <v>100</v>
      </c>
    </row>
    <row r="498" spans="1:10" s="11" customFormat="1" ht="15" customHeight="1">
      <c r="A498" s="82" t="s">
        <v>59</v>
      </c>
      <c r="B498" s="83" t="s">
        <v>602</v>
      </c>
      <c r="C498" s="84" t="s">
        <v>62</v>
      </c>
      <c r="D498" s="84" t="s">
        <v>83</v>
      </c>
      <c r="E498" s="86"/>
      <c r="F498" s="81"/>
      <c r="G498" s="166">
        <f t="shared" si="84"/>
        <v>1162.2</v>
      </c>
      <c r="H498" s="166">
        <f t="shared" si="84"/>
        <v>1162.2</v>
      </c>
      <c r="I498" s="166">
        <f t="shared" si="80"/>
        <v>0</v>
      </c>
      <c r="J498" s="165">
        <f t="shared" si="81"/>
        <v>100</v>
      </c>
    </row>
    <row r="499" spans="1:10" s="11" customFormat="1" ht="22.5">
      <c r="A499" s="174" t="s">
        <v>605</v>
      </c>
      <c r="B499" s="83" t="s">
        <v>602</v>
      </c>
      <c r="C499" s="84" t="s">
        <v>62</v>
      </c>
      <c r="D499" s="84" t="s">
        <v>83</v>
      </c>
      <c r="E499" s="86" t="s">
        <v>603</v>
      </c>
      <c r="F499" s="81"/>
      <c r="G499" s="166">
        <f t="shared" si="84"/>
        <v>1162.2</v>
      </c>
      <c r="H499" s="166">
        <f t="shared" si="84"/>
        <v>1162.2</v>
      </c>
      <c r="I499" s="166">
        <f t="shared" si="80"/>
        <v>0</v>
      </c>
      <c r="J499" s="165">
        <f t="shared" si="81"/>
        <v>100</v>
      </c>
    </row>
    <row r="500" spans="1:10" s="11" customFormat="1" ht="22.5">
      <c r="A500" s="85" t="s">
        <v>606</v>
      </c>
      <c r="B500" s="83" t="s">
        <v>602</v>
      </c>
      <c r="C500" s="84" t="s">
        <v>62</v>
      </c>
      <c r="D500" s="84" t="s">
        <v>83</v>
      </c>
      <c r="E500" s="86" t="s">
        <v>604</v>
      </c>
      <c r="F500" s="81"/>
      <c r="G500" s="166">
        <f t="shared" si="84"/>
        <v>1162.2</v>
      </c>
      <c r="H500" s="166">
        <f t="shared" si="84"/>
        <v>1162.2</v>
      </c>
      <c r="I500" s="166">
        <f t="shared" si="80"/>
        <v>0</v>
      </c>
      <c r="J500" s="165">
        <f t="shared" si="81"/>
        <v>100</v>
      </c>
    </row>
    <row r="501" spans="1:10" s="11" customFormat="1" ht="22.5">
      <c r="A501" s="82" t="s">
        <v>136</v>
      </c>
      <c r="B501" s="83" t="s">
        <v>602</v>
      </c>
      <c r="C501" s="84" t="s">
        <v>62</v>
      </c>
      <c r="D501" s="84" t="s">
        <v>83</v>
      </c>
      <c r="E501" s="86" t="s">
        <v>604</v>
      </c>
      <c r="F501" s="81">
        <v>724</v>
      </c>
      <c r="G501" s="166">
        <f>1000+162.2</f>
        <v>1162.2</v>
      </c>
      <c r="H501" s="166">
        <v>1162.2</v>
      </c>
      <c r="I501" s="166">
        <f t="shared" si="80"/>
        <v>0</v>
      </c>
      <c r="J501" s="165">
        <f t="shared" si="81"/>
        <v>100</v>
      </c>
    </row>
    <row r="502" spans="1:10" s="58" customFormat="1" ht="63.75">
      <c r="A502" s="115" t="s">
        <v>640</v>
      </c>
      <c r="B502" s="77" t="s">
        <v>636</v>
      </c>
      <c r="C502" s="80"/>
      <c r="D502" s="80"/>
      <c r="E502" s="88"/>
      <c r="F502" s="76"/>
      <c r="G502" s="163">
        <f t="shared" ref="G502:H506" si="85">G503</f>
        <v>237.8</v>
      </c>
      <c r="H502" s="163">
        <f t="shared" si="85"/>
        <v>237.8</v>
      </c>
      <c r="I502" s="163">
        <f t="shared" si="80"/>
        <v>0</v>
      </c>
      <c r="J502" s="164">
        <f t="shared" si="81"/>
        <v>100</v>
      </c>
    </row>
    <row r="503" spans="1:10" s="11" customFormat="1">
      <c r="A503" s="79" t="s">
        <v>2</v>
      </c>
      <c r="B503" s="83" t="s">
        <v>636</v>
      </c>
      <c r="C503" s="80" t="s">
        <v>62</v>
      </c>
      <c r="D503" s="80" t="s">
        <v>33</v>
      </c>
      <c r="E503" s="88"/>
      <c r="F503" s="76"/>
      <c r="G503" s="166">
        <f t="shared" si="85"/>
        <v>237.8</v>
      </c>
      <c r="H503" s="166">
        <f t="shared" si="85"/>
        <v>237.8</v>
      </c>
      <c r="I503" s="166">
        <f t="shared" si="80"/>
        <v>0</v>
      </c>
      <c r="J503" s="165">
        <f t="shared" si="81"/>
        <v>100</v>
      </c>
    </row>
    <row r="504" spans="1:10" s="11" customFormat="1">
      <c r="A504" s="82" t="s">
        <v>59</v>
      </c>
      <c r="B504" s="83" t="s">
        <v>636</v>
      </c>
      <c r="C504" s="84" t="s">
        <v>62</v>
      </c>
      <c r="D504" s="84" t="s">
        <v>83</v>
      </c>
      <c r="E504" s="86"/>
      <c r="F504" s="81"/>
      <c r="G504" s="166">
        <f t="shared" si="85"/>
        <v>237.8</v>
      </c>
      <c r="H504" s="166">
        <f t="shared" si="85"/>
        <v>237.8</v>
      </c>
      <c r="I504" s="166">
        <f t="shared" si="80"/>
        <v>0</v>
      </c>
      <c r="J504" s="165">
        <f t="shared" si="81"/>
        <v>100</v>
      </c>
    </row>
    <row r="505" spans="1:10" s="11" customFormat="1" ht="22.5">
      <c r="A505" s="174" t="s">
        <v>605</v>
      </c>
      <c r="B505" s="83" t="s">
        <v>636</v>
      </c>
      <c r="C505" s="84" t="s">
        <v>62</v>
      </c>
      <c r="D505" s="84" t="s">
        <v>83</v>
      </c>
      <c r="E505" s="86" t="s">
        <v>603</v>
      </c>
      <c r="F505" s="81"/>
      <c r="G505" s="166">
        <f t="shared" si="85"/>
        <v>237.8</v>
      </c>
      <c r="H505" s="166">
        <f t="shared" si="85"/>
        <v>237.8</v>
      </c>
      <c r="I505" s="166">
        <f t="shared" si="80"/>
        <v>0</v>
      </c>
      <c r="J505" s="165">
        <f t="shared" si="81"/>
        <v>100</v>
      </c>
    </row>
    <row r="506" spans="1:10" s="11" customFormat="1">
      <c r="A506" s="85" t="s">
        <v>606</v>
      </c>
      <c r="B506" s="83" t="s">
        <v>636</v>
      </c>
      <c r="C506" s="84" t="s">
        <v>62</v>
      </c>
      <c r="D506" s="84" t="s">
        <v>83</v>
      </c>
      <c r="E506" s="86" t="s">
        <v>604</v>
      </c>
      <c r="F506" s="81"/>
      <c r="G506" s="166">
        <f t="shared" si="85"/>
        <v>237.8</v>
      </c>
      <c r="H506" s="166">
        <f t="shared" si="85"/>
        <v>237.8</v>
      </c>
      <c r="I506" s="166">
        <f t="shared" si="80"/>
        <v>0</v>
      </c>
      <c r="J506" s="165">
        <f t="shared" si="81"/>
        <v>100</v>
      </c>
    </row>
    <row r="507" spans="1:10" s="11" customFormat="1" ht="22.5">
      <c r="A507" s="82" t="s">
        <v>136</v>
      </c>
      <c r="B507" s="83" t="s">
        <v>636</v>
      </c>
      <c r="C507" s="84" t="s">
        <v>62</v>
      </c>
      <c r="D507" s="84" t="s">
        <v>83</v>
      </c>
      <c r="E507" s="86" t="s">
        <v>604</v>
      </c>
      <c r="F507" s="81">
        <v>724</v>
      </c>
      <c r="G507" s="166">
        <f>400-162.2</f>
        <v>237.8</v>
      </c>
      <c r="H507" s="166">
        <v>237.8</v>
      </c>
      <c r="I507" s="166">
        <f t="shared" si="80"/>
        <v>0</v>
      </c>
      <c r="J507" s="165">
        <f t="shared" si="81"/>
        <v>100</v>
      </c>
    </row>
    <row r="508" spans="1:10" s="58" customFormat="1" ht="32.25">
      <c r="A508" s="89" t="s">
        <v>410</v>
      </c>
      <c r="B508" s="88" t="s">
        <v>411</v>
      </c>
      <c r="C508" s="88"/>
      <c r="D508" s="88"/>
      <c r="E508" s="88"/>
      <c r="F508" s="76"/>
      <c r="G508" s="163">
        <f t="shared" ref="G508:H513" si="86">G509</f>
        <v>275</v>
      </c>
      <c r="H508" s="163">
        <f t="shared" si="86"/>
        <v>272.5</v>
      </c>
      <c r="I508" s="163">
        <f t="shared" si="80"/>
        <v>2.5</v>
      </c>
      <c r="J508" s="164">
        <f t="shared" si="81"/>
        <v>99.090909090909093</v>
      </c>
    </row>
    <row r="509" spans="1:10" s="11" customFormat="1" ht="22.5">
      <c r="A509" s="85" t="s">
        <v>542</v>
      </c>
      <c r="B509" s="86" t="s">
        <v>535</v>
      </c>
      <c r="C509" s="86"/>
      <c r="D509" s="86"/>
      <c r="E509" s="86"/>
      <c r="F509" s="81"/>
      <c r="G509" s="166">
        <f t="shared" si="86"/>
        <v>275</v>
      </c>
      <c r="H509" s="166">
        <f t="shared" si="86"/>
        <v>272.5</v>
      </c>
      <c r="I509" s="166">
        <f t="shared" si="80"/>
        <v>2.5</v>
      </c>
      <c r="J509" s="165">
        <f t="shared" si="81"/>
        <v>99.090909090909093</v>
      </c>
    </row>
    <row r="510" spans="1:10" s="11" customFormat="1">
      <c r="A510" s="79" t="s">
        <v>7</v>
      </c>
      <c r="B510" s="86" t="s">
        <v>535</v>
      </c>
      <c r="C510" s="86" t="s">
        <v>65</v>
      </c>
      <c r="D510" s="86" t="s">
        <v>33</v>
      </c>
      <c r="E510" s="86"/>
      <c r="F510" s="81"/>
      <c r="G510" s="166">
        <f t="shared" si="86"/>
        <v>275</v>
      </c>
      <c r="H510" s="166">
        <f t="shared" si="86"/>
        <v>272.5</v>
      </c>
      <c r="I510" s="166">
        <f t="shared" si="80"/>
        <v>2.5</v>
      </c>
      <c r="J510" s="165">
        <f t="shared" si="81"/>
        <v>99.090909090909093</v>
      </c>
    </row>
    <row r="511" spans="1:10" s="11" customFormat="1">
      <c r="A511" s="85" t="s">
        <v>9</v>
      </c>
      <c r="B511" s="86" t="s">
        <v>535</v>
      </c>
      <c r="C511" s="86" t="s">
        <v>65</v>
      </c>
      <c r="D511" s="86" t="s">
        <v>63</v>
      </c>
      <c r="E511" s="86"/>
      <c r="F511" s="81"/>
      <c r="G511" s="166">
        <f t="shared" si="86"/>
        <v>275</v>
      </c>
      <c r="H511" s="166">
        <f t="shared" si="86"/>
        <v>272.5</v>
      </c>
      <c r="I511" s="166">
        <f t="shared" si="80"/>
        <v>2.5</v>
      </c>
      <c r="J511" s="165">
        <f t="shared" si="81"/>
        <v>99.090909090909093</v>
      </c>
    </row>
    <row r="512" spans="1:10" s="11" customFormat="1" ht="22.5">
      <c r="A512" s="85" t="s">
        <v>93</v>
      </c>
      <c r="B512" s="86" t="s">
        <v>535</v>
      </c>
      <c r="C512" s="86" t="s">
        <v>65</v>
      </c>
      <c r="D512" s="86" t="s">
        <v>63</v>
      </c>
      <c r="E512" s="86" t="s">
        <v>94</v>
      </c>
      <c r="F512" s="81"/>
      <c r="G512" s="166">
        <f t="shared" si="86"/>
        <v>275</v>
      </c>
      <c r="H512" s="166">
        <f t="shared" si="86"/>
        <v>272.5</v>
      </c>
      <c r="I512" s="166">
        <f t="shared" si="80"/>
        <v>2.5</v>
      </c>
      <c r="J512" s="165">
        <f t="shared" si="81"/>
        <v>99.090909090909093</v>
      </c>
    </row>
    <row r="513" spans="1:10" s="11" customFormat="1">
      <c r="A513" s="85" t="s">
        <v>97</v>
      </c>
      <c r="B513" s="86" t="s">
        <v>535</v>
      </c>
      <c r="C513" s="86" t="s">
        <v>65</v>
      </c>
      <c r="D513" s="86" t="s">
        <v>63</v>
      </c>
      <c r="E513" s="86" t="s">
        <v>98</v>
      </c>
      <c r="F513" s="81"/>
      <c r="G513" s="166">
        <f t="shared" si="86"/>
        <v>275</v>
      </c>
      <c r="H513" s="166">
        <f t="shared" si="86"/>
        <v>272.5</v>
      </c>
      <c r="I513" s="166">
        <f t="shared" si="80"/>
        <v>2.5</v>
      </c>
      <c r="J513" s="165">
        <f t="shared" si="81"/>
        <v>99.090909090909093</v>
      </c>
    </row>
    <row r="514" spans="1:10" s="11" customFormat="1" ht="22.5">
      <c r="A514" s="82" t="s">
        <v>131</v>
      </c>
      <c r="B514" s="86" t="s">
        <v>535</v>
      </c>
      <c r="C514" s="86" t="s">
        <v>65</v>
      </c>
      <c r="D514" s="86" t="s">
        <v>63</v>
      </c>
      <c r="E514" s="86" t="s">
        <v>98</v>
      </c>
      <c r="F514" s="81">
        <v>725</v>
      </c>
      <c r="G514" s="166">
        <v>275</v>
      </c>
      <c r="H514" s="166">
        <v>272.5</v>
      </c>
      <c r="I514" s="166">
        <f t="shared" si="80"/>
        <v>2.5</v>
      </c>
      <c r="J514" s="165">
        <f t="shared" si="81"/>
        <v>99.090909090909093</v>
      </c>
    </row>
    <row r="515" spans="1:10" s="58" customFormat="1">
      <c r="A515" s="115" t="s">
        <v>618</v>
      </c>
      <c r="B515" s="88" t="s">
        <v>619</v>
      </c>
      <c r="C515" s="88"/>
      <c r="D515" s="88"/>
      <c r="E515" s="88"/>
      <c r="F515" s="76"/>
      <c r="G515" s="163">
        <f t="shared" ref="G515:H518" si="87">G516</f>
        <v>92</v>
      </c>
      <c r="H515" s="163">
        <f t="shared" si="87"/>
        <v>92</v>
      </c>
      <c r="I515" s="163">
        <f t="shared" si="80"/>
        <v>0</v>
      </c>
      <c r="J515" s="164">
        <f t="shared" si="81"/>
        <v>100</v>
      </c>
    </row>
    <row r="516" spans="1:10" s="11" customFormat="1" ht="22.5">
      <c r="A516" s="124" t="s">
        <v>652</v>
      </c>
      <c r="B516" s="86" t="s">
        <v>620</v>
      </c>
      <c r="C516" s="86"/>
      <c r="D516" s="86"/>
      <c r="E516" s="86"/>
      <c r="F516" s="81"/>
      <c r="G516" s="166">
        <f t="shared" si="87"/>
        <v>92</v>
      </c>
      <c r="H516" s="166">
        <f t="shared" si="87"/>
        <v>92</v>
      </c>
      <c r="I516" s="166">
        <f t="shared" si="80"/>
        <v>0</v>
      </c>
      <c r="J516" s="165">
        <f t="shared" si="81"/>
        <v>100</v>
      </c>
    </row>
    <row r="517" spans="1:10" s="11" customFormat="1">
      <c r="A517" s="79" t="s">
        <v>7</v>
      </c>
      <c r="B517" s="86" t="s">
        <v>620</v>
      </c>
      <c r="C517" s="86"/>
      <c r="D517" s="86"/>
      <c r="E517" s="86"/>
      <c r="F517" s="81"/>
      <c r="G517" s="166">
        <f t="shared" si="87"/>
        <v>92</v>
      </c>
      <c r="H517" s="166">
        <f t="shared" si="87"/>
        <v>92</v>
      </c>
      <c r="I517" s="166">
        <f t="shared" si="80"/>
        <v>0</v>
      </c>
      <c r="J517" s="165">
        <f t="shared" si="81"/>
        <v>100</v>
      </c>
    </row>
    <row r="518" spans="1:10" s="11" customFormat="1">
      <c r="A518" s="82" t="s">
        <v>10</v>
      </c>
      <c r="B518" s="86" t="s">
        <v>620</v>
      </c>
      <c r="C518" s="84" t="s">
        <v>65</v>
      </c>
      <c r="D518" s="84" t="s">
        <v>71</v>
      </c>
      <c r="E518" s="86"/>
      <c r="F518" s="81"/>
      <c r="G518" s="166">
        <f t="shared" si="87"/>
        <v>92</v>
      </c>
      <c r="H518" s="166">
        <f t="shared" si="87"/>
        <v>92</v>
      </c>
      <c r="I518" s="166">
        <f t="shared" si="80"/>
        <v>0</v>
      </c>
      <c r="J518" s="165">
        <f t="shared" si="81"/>
        <v>100</v>
      </c>
    </row>
    <row r="519" spans="1:10" s="11" customFormat="1">
      <c r="A519" s="85" t="s">
        <v>99</v>
      </c>
      <c r="B519" s="86" t="s">
        <v>620</v>
      </c>
      <c r="C519" s="84" t="s">
        <v>65</v>
      </c>
      <c r="D519" s="84" t="s">
        <v>71</v>
      </c>
      <c r="E519" s="86" t="s">
        <v>100</v>
      </c>
      <c r="F519" s="81"/>
      <c r="G519" s="166">
        <f>G521</f>
        <v>92</v>
      </c>
      <c r="H519" s="166">
        <f>H521</f>
        <v>92</v>
      </c>
      <c r="I519" s="166">
        <f t="shared" si="80"/>
        <v>0</v>
      </c>
      <c r="J519" s="165">
        <f t="shared" si="81"/>
        <v>100</v>
      </c>
    </row>
    <row r="520" spans="1:10" s="11" customFormat="1">
      <c r="A520" s="124" t="s">
        <v>124</v>
      </c>
      <c r="B520" s="86" t="s">
        <v>620</v>
      </c>
      <c r="C520" s="84" t="s">
        <v>65</v>
      </c>
      <c r="D520" s="84" t="s">
        <v>71</v>
      </c>
      <c r="E520" s="86" t="s">
        <v>123</v>
      </c>
      <c r="F520" s="81"/>
      <c r="G520" s="166">
        <f>G521</f>
        <v>92</v>
      </c>
      <c r="H520" s="166">
        <f>H521</f>
        <v>92</v>
      </c>
      <c r="I520" s="166">
        <f t="shared" si="80"/>
        <v>0</v>
      </c>
      <c r="J520" s="165">
        <f t="shared" si="81"/>
        <v>100</v>
      </c>
    </row>
    <row r="521" spans="1:10" s="11" customFormat="1" ht="22.5">
      <c r="A521" s="82" t="s">
        <v>131</v>
      </c>
      <c r="B521" s="86" t="s">
        <v>620</v>
      </c>
      <c r="C521" s="84" t="s">
        <v>65</v>
      </c>
      <c r="D521" s="84" t="s">
        <v>71</v>
      </c>
      <c r="E521" s="86" t="s">
        <v>123</v>
      </c>
      <c r="F521" s="81">
        <v>725</v>
      </c>
      <c r="G521" s="166">
        <v>92</v>
      </c>
      <c r="H521" s="166">
        <v>92</v>
      </c>
      <c r="I521" s="166">
        <f t="shared" ref="I521:I585" si="88">G521-H521</f>
        <v>0</v>
      </c>
      <c r="J521" s="165">
        <f t="shared" ref="J521:J585" si="89">H521/G521*100</f>
        <v>100</v>
      </c>
    </row>
    <row r="522" spans="1:10" s="11" customFormat="1" ht="32.25">
      <c r="A522" s="79" t="s">
        <v>675</v>
      </c>
      <c r="B522" s="77" t="s">
        <v>154</v>
      </c>
      <c r="C522" s="80"/>
      <c r="D522" s="80"/>
      <c r="E522" s="86"/>
      <c r="F522" s="81"/>
      <c r="G522" s="163">
        <f>G523+G536+G549</f>
        <v>540.29999999999995</v>
      </c>
      <c r="H522" s="163">
        <f>H523+H536+H549</f>
        <v>536.90000000000009</v>
      </c>
      <c r="I522" s="163">
        <f t="shared" si="88"/>
        <v>3.3999999999998636</v>
      </c>
      <c r="J522" s="164">
        <f t="shared" si="89"/>
        <v>99.370719970386844</v>
      </c>
    </row>
    <row r="523" spans="1:10" s="11" customFormat="1" ht="21.75">
      <c r="A523" s="79" t="s">
        <v>182</v>
      </c>
      <c r="B523" s="77" t="s">
        <v>244</v>
      </c>
      <c r="C523" s="80"/>
      <c r="D523" s="80"/>
      <c r="E523" s="86"/>
      <c r="F523" s="81"/>
      <c r="G523" s="163">
        <f>G524+G530</f>
        <v>46.7</v>
      </c>
      <c r="H523" s="163">
        <f>H524+H530</f>
        <v>43.300000000000004</v>
      </c>
      <c r="I523" s="163">
        <f t="shared" si="88"/>
        <v>3.3999999999999986</v>
      </c>
      <c r="J523" s="164">
        <f t="shared" si="89"/>
        <v>92.719486081370448</v>
      </c>
    </row>
    <row r="524" spans="1:10" s="11" customFormat="1" ht="45" customHeight="1">
      <c r="A524" s="79" t="s">
        <v>386</v>
      </c>
      <c r="B524" s="77" t="s">
        <v>277</v>
      </c>
      <c r="C524" s="80"/>
      <c r="D524" s="80"/>
      <c r="E524" s="86"/>
      <c r="F524" s="81"/>
      <c r="G524" s="163">
        <f t="shared" ref="G524:H528" si="90">G525</f>
        <v>8</v>
      </c>
      <c r="H524" s="163">
        <f t="shared" si="90"/>
        <v>4.5999999999999996</v>
      </c>
      <c r="I524" s="163">
        <f t="shared" si="88"/>
        <v>3.4000000000000004</v>
      </c>
      <c r="J524" s="164">
        <f t="shared" si="89"/>
        <v>57.499999999999993</v>
      </c>
    </row>
    <row r="525" spans="1:10" s="11" customFormat="1">
      <c r="A525" s="79" t="s">
        <v>2</v>
      </c>
      <c r="B525" s="77" t="s">
        <v>277</v>
      </c>
      <c r="C525" s="80" t="s">
        <v>62</v>
      </c>
      <c r="D525" s="80" t="s">
        <v>33</v>
      </c>
      <c r="E525" s="86"/>
      <c r="F525" s="81"/>
      <c r="G525" s="163">
        <f t="shared" si="90"/>
        <v>8</v>
      </c>
      <c r="H525" s="163">
        <f t="shared" si="90"/>
        <v>4.5999999999999996</v>
      </c>
      <c r="I525" s="163">
        <f t="shared" si="88"/>
        <v>3.4000000000000004</v>
      </c>
      <c r="J525" s="164">
        <f t="shared" si="89"/>
        <v>57.499999999999993</v>
      </c>
    </row>
    <row r="526" spans="1:10" s="11" customFormat="1" ht="22.5">
      <c r="A526" s="82" t="s">
        <v>59</v>
      </c>
      <c r="B526" s="83" t="s">
        <v>277</v>
      </c>
      <c r="C526" s="84" t="s">
        <v>62</v>
      </c>
      <c r="D526" s="84" t="s">
        <v>83</v>
      </c>
      <c r="E526" s="86"/>
      <c r="F526" s="81"/>
      <c r="G526" s="166">
        <f t="shared" si="90"/>
        <v>8</v>
      </c>
      <c r="H526" s="166">
        <f t="shared" si="90"/>
        <v>4.5999999999999996</v>
      </c>
      <c r="I526" s="166">
        <f t="shared" si="88"/>
        <v>3.4000000000000004</v>
      </c>
      <c r="J526" s="165">
        <f t="shared" si="89"/>
        <v>57.499999999999993</v>
      </c>
    </row>
    <row r="527" spans="1:10" s="11" customFormat="1" ht="22.5">
      <c r="A527" s="85" t="s">
        <v>331</v>
      </c>
      <c r="B527" s="83" t="s">
        <v>277</v>
      </c>
      <c r="C527" s="84" t="s">
        <v>62</v>
      </c>
      <c r="D527" s="84" t="s">
        <v>83</v>
      </c>
      <c r="E527" s="86" t="s">
        <v>92</v>
      </c>
      <c r="F527" s="81"/>
      <c r="G527" s="166">
        <f t="shared" si="90"/>
        <v>8</v>
      </c>
      <c r="H527" s="166">
        <f t="shared" si="90"/>
        <v>4.5999999999999996</v>
      </c>
      <c r="I527" s="166">
        <f t="shared" si="88"/>
        <v>3.4000000000000004</v>
      </c>
      <c r="J527" s="165">
        <f t="shared" si="89"/>
        <v>57.499999999999993</v>
      </c>
    </row>
    <row r="528" spans="1:10" s="11" customFormat="1" ht="21.75" customHeight="1">
      <c r="A528" s="85" t="s">
        <v>558</v>
      </c>
      <c r="B528" s="83" t="s">
        <v>277</v>
      </c>
      <c r="C528" s="84" t="s">
        <v>62</v>
      </c>
      <c r="D528" s="84" t="s">
        <v>83</v>
      </c>
      <c r="E528" s="86" t="s">
        <v>89</v>
      </c>
      <c r="F528" s="81"/>
      <c r="G528" s="166">
        <f t="shared" si="90"/>
        <v>8</v>
      </c>
      <c r="H528" s="166">
        <f t="shared" si="90"/>
        <v>4.5999999999999996</v>
      </c>
      <c r="I528" s="166">
        <f t="shared" si="88"/>
        <v>3.4000000000000004</v>
      </c>
      <c r="J528" s="165">
        <f t="shared" si="89"/>
        <v>57.499999999999993</v>
      </c>
    </row>
    <row r="529" spans="1:10" s="11" customFormat="1" ht="22.5">
      <c r="A529" s="82" t="s">
        <v>128</v>
      </c>
      <c r="B529" s="83" t="s">
        <v>277</v>
      </c>
      <c r="C529" s="84" t="s">
        <v>62</v>
      </c>
      <c r="D529" s="84" t="s">
        <v>83</v>
      </c>
      <c r="E529" s="86" t="s">
        <v>89</v>
      </c>
      <c r="F529" s="81">
        <v>721</v>
      </c>
      <c r="G529" s="166">
        <f>50-40-2</f>
        <v>8</v>
      </c>
      <c r="H529" s="166">
        <v>4.5999999999999996</v>
      </c>
      <c r="I529" s="166">
        <f t="shared" si="88"/>
        <v>3.4000000000000004</v>
      </c>
      <c r="J529" s="165">
        <f t="shared" si="89"/>
        <v>57.499999999999993</v>
      </c>
    </row>
    <row r="530" spans="1:10" s="58" customFormat="1" ht="32.25">
      <c r="A530" s="79" t="s">
        <v>387</v>
      </c>
      <c r="B530" s="77" t="s">
        <v>388</v>
      </c>
      <c r="C530" s="80"/>
      <c r="D530" s="80"/>
      <c r="E530" s="88"/>
      <c r="F530" s="76"/>
      <c r="G530" s="163">
        <f t="shared" ref="G530:H534" si="91">G531</f>
        <v>38.700000000000003</v>
      </c>
      <c r="H530" s="163">
        <f t="shared" si="91"/>
        <v>38.700000000000003</v>
      </c>
      <c r="I530" s="163">
        <f t="shared" si="88"/>
        <v>0</v>
      </c>
      <c r="J530" s="164">
        <f t="shared" si="89"/>
        <v>100</v>
      </c>
    </row>
    <row r="531" spans="1:10" s="58" customFormat="1">
      <c r="A531" s="79" t="s">
        <v>2</v>
      </c>
      <c r="B531" s="77" t="s">
        <v>388</v>
      </c>
      <c r="C531" s="80" t="s">
        <v>62</v>
      </c>
      <c r="D531" s="80" t="s">
        <v>33</v>
      </c>
      <c r="E531" s="88"/>
      <c r="F531" s="76"/>
      <c r="G531" s="163">
        <f t="shared" si="91"/>
        <v>38.700000000000003</v>
      </c>
      <c r="H531" s="163">
        <f t="shared" si="91"/>
        <v>38.700000000000003</v>
      </c>
      <c r="I531" s="163">
        <f t="shared" si="88"/>
        <v>0</v>
      </c>
      <c r="J531" s="164">
        <f t="shared" si="89"/>
        <v>100</v>
      </c>
    </row>
    <row r="532" spans="1:10" s="11" customFormat="1" ht="22.5">
      <c r="A532" s="82" t="s">
        <v>59</v>
      </c>
      <c r="B532" s="83" t="s">
        <v>388</v>
      </c>
      <c r="C532" s="84" t="s">
        <v>62</v>
      </c>
      <c r="D532" s="84" t="s">
        <v>83</v>
      </c>
      <c r="E532" s="86"/>
      <c r="F532" s="81"/>
      <c r="G532" s="166">
        <f t="shared" si="91"/>
        <v>38.700000000000003</v>
      </c>
      <c r="H532" s="166">
        <f t="shared" si="91"/>
        <v>38.700000000000003</v>
      </c>
      <c r="I532" s="166">
        <f t="shared" si="88"/>
        <v>0</v>
      </c>
      <c r="J532" s="165">
        <f t="shared" si="89"/>
        <v>100</v>
      </c>
    </row>
    <row r="533" spans="1:10" s="11" customFormat="1" ht="45">
      <c r="A533" s="85" t="s">
        <v>90</v>
      </c>
      <c r="B533" s="83" t="s">
        <v>388</v>
      </c>
      <c r="C533" s="84" t="s">
        <v>62</v>
      </c>
      <c r="D533" s="84" t="s">
        <v>83</v>
      </c>
      <c r="E533" s="86" t="s">
        <v>91</v>
      </c>
      <c r="F533" s="81"/>
      <c r="G533" s="166">
        <f t="shared" si="91"/>
        <v>38.700000000000003</v>
      </c>
      <c r="H533" s="166">
        <f t="shared" si="91"/>
        <v>38.700000000000003</v>
      </c>
      <c r="I533" s="166">
        <f t="shared" si="88"/>
        <v>0</v>
      </c>
      <c r="J533" s="165">
        <f t="shared" si="89"/>
        <v>100</v>
      </c>
    </row>
    <row r="534" spans="1:10" s="11" customFormat="1" ht="22.5">
      <c r="A534" s="85" t="s">
        <v>87</v>
      </c>
      <c r="B534" s="83" t="s">
        <v>388</v>
      </c>
      <c r="C534" s="84" t="s">
        <v>62</v>
      </c>
      <c r="D534" s="84" t="s">
        <v>83</v>
      </c>
      <c r="E534" s="86" t="s">
        <v>88</v>
      </c>
      <c r="F534" s="81"/>
      <c r="G534" s="166">
        <f t="shared" si="91"/>
        <v>38.700000000000003</v>
      </c>
      <c r="H534" s="166">
        <f t="shared" si="91"/>
        <v>38.700000000000003</v>
      </c>
      <c r="I534" s="166">
        <f t="shared" si="88"/>
        <v>0</v>
      </c>
      <c r="J534" s="165">
        <f t="shared" si="89"/>
        <v>100</v>
      </c>
    </row>
    <row r="535" spans="1:10" s="11" customFormat="1" ht="22.5">
      <c r="A535" s="82" t="s">
        <v>128</v>
      </c>
      <c r="B535" s="83" t="s">
        <v>388</v>
      </c>
      <c r="C535" s="84" t="s">
        <v>62</v>
      </c>
      <c r="D535" s="84" t="s">
        <v>83</v>
      </c>
      <c r="E535" s="86" t="s">
        <v>88</v>
      </c>
      <c r="F535" s="81">
        <v>721</v>
      </c>
      <c r="G535" s="166">
        <f>40+2-3.3</f>
        <v>38.700000000000003</v>
      </c>
      <c r="H535" s="166">
        <v>38.700000000000003</v>
      </c>
      <c r="I535" s="166">
        <f t="shared" si="88"/>
        <v>0</v>
      </c>
      <c r="J535" s="165">
        <f t="shared" si="89"/>
        <v>100</v>
      </c>
    </row>
    <row r="536" spans="1:10" s="11" customFormat="1" ht="21.75">
      <c r="A536" s="79" t="s">
        <v>191</v>
      </c>
      <c r="B536" s="77" t="s">
        <v>309</v>
      </c>
      <c r="C536" s="84"/>
      <c r="D536" s="84"/>
      <c r="E536" s="86"/>
      <c r="F536" s="81"/>
      <c r="G536" s="163">
        <f>G543+G537</f>
        <v>323.3</v>
      </c>
      <c r="H536" s="163">
        <f>H543+H537</f>
        <v>323.3</v>
      </c>
      <c r="I536" s="163">
        <f t="shared" si="88"/>
        <v>0</v>
      </c>
      <c r="J536" s="164">
        <f t="shared" si="89"/>
        <v>100</v>
      </c>
    </row>
    <row r="537" spans="1:10" s="11" customFormat="1" ht="22.5">
      <c r="A537" s="124" t="s">
        <v>575</v>
      </c>
      <c r="B537" s="83" t="s">
        <v>576</v>
      </c>
      <c r="C537" s="84"/>
      <c r="D537" s="84"/>
      <c r="E537" s="86"/>
      <c r="F537" s="81"/>
      <c r="G537" s="166">
        <f>G539</f>
        <v>23.3</v>
      </c>
      <c r="H537" s="166">
        <f>H539</f>
        <v>23.3</v>
      </c>
      <c r="I537" s="166">
        <f t="shared" si="88"/>
        <v>0</v>
      </c>
      <c r="J537" s="165">
        <f t="shared" si="89"/>
        <v>100</v>
      </c>
    </row>
    <row r="538" spans="1:10" s="11" customFormat="1" ht="22.5">
      <c r="A538" s="82" t="s">
        <v>59</v>
      </c>
      <c r="B538" s="83" t="s">
        <v>576</v>
      </c>
      <c r="C538" s="84" t="s">
        <v>62</v>
      </c>
      <c r="D538" s="84" t="s">
        <v>83</v>
      </c>
      <c r="E538" s="86"/>
      <c r="F538" s="81"/>
      <c r="G538" s="166">
        <f t="shared" ref="G538:H541" si="92">G539</f>
        <v>23.3</v>
      </c>
      <c r="H538" s="166">
        <f t="shared" si="92"/>
        <v>23.3</v>
      </c>
      <c r="I538" s="166">
        <f t="shared" si="88"/>
        <v>0</v>
      </c>
      <c r="J538" s="165">
        <f t="shared" si="89"/>
        <v>100</v>
      </c>
    </row>
    <row r="539" spans="1:10" s="11" customFormat="1" ht="22.5">
      <c r="A539" s="124" t="s">
        <v>331</v>
      </c>
      <c r="B539" s="83" t="s">
        <v>576</v>
      </c>
      <c r="C539" s="84" t="s">
        <v>62</v>
      </c>
      <c r="D539" s="84" t="s">
        <v>83</v>
      </c>
      <c r="E539" s="86"/>
      <c r="F539" s="81"/>
      <c r="G539" s="166">
        <f>G541</f>
        <v>23.3</v>
      </c>
      <c r="H539" s="166">
        <f>H541</f>
        <v>23.3</v>
      </c>
      <c r="I539" s="166">
        <f t="shared" si="88"/>
        <v>0</v>
      </c>
      <c r="J539" s="165">
        <f t="shared" si="89"/>
        <v>100</v>
      </c>
    </row>
    <row r="540" spans="1:10" s="11" customFormat="1" ht="22.5">
      <c r="A540" s="85" t="s">
        <v>331</v>
      </c>
      <c r="B540" s="83" t="s">
        <v>576</v>
      </c>
      <c r="C540" s="84" t="s">
        <v>62</v>
      </c>
      <c r="D540" s="84" t="s">
        <v>83</v>
      </c>
      <c r="E540" s="86" t="s">
        <v>92</v>
      </c>
      <c r="F540" s="81"/>
      <c r="G540" s="166">
        <f>G541</f>
        <v>23.3</v>
      </c>
      <c r="H540" s="166">
        <f>H541</f>
        <v>23.3</v>
      </c>
      <c r="I540" s="166">
        <f>I541</f>
        <v>0</v>
      </c>
      <c r="J540" s="165">
        <f>J541</f>
        <v>100</v>
      </c>
    </row>
    <row r="541" spans="1:10" s="11" customFormat="1" ht="22.5">
      <c r="A541" s="85" t="s">
        <v>558</v>
      </c>
      <c r="B541" s="83" t="s">
        <v>576</v>
      </c>
      <c r="C541" s="84" t="s">
        <v>62</v>
      </c>
      <c r="D541" s="84" t="s">
        <v>83</v>
      </c>
      <c r="E541" s="86" t="s">
        <v>89</v>
      </c>
      <c r="F541" s="81"/>
      <c r="G541" s="166">
        <f t="shared" si="92"/>
        <v>23.3</v>
      </c>
      <c r="H541" s="166">
        <f t="shared" si="92"/>
        <v>23.3</v>
      </c>
      <c r="I541" s="166">
        <f t="shared" si="88"/>
        <v>0</v>
      </c>
      <c r="J541" s="165">
        <f t="shared" si="89"/>
        <v>100</v>
      </c>
    </row>
    <row r="542" spans="1:10" s="11" customFormat="1" ht="18.75" customHeight="1">
      <c r="A542" s="82" t="s">
        <v>128</v>
      </c>
      <c r="B542" s="83" t="s">
        <v>576</v>
      </c>
      <c r="C542" s="84" t="s">
        <v>62</v>
      </c>
      <c r="D542" s="84" t="s">
        <v>83</v>
      </c>
      <c r="E542" s="86" t="s">
        <v>89</v>
      </c>
      <c r="F542" s="81">
        <v>721</v>
      </c>
      <c r="G542" s="166">
        <f>20+3.3</f>
        <v>23.3</v>
      </c>
      <c r="H542" s="166">
        <v>23.3</v>
      </c>
      <c r="I542" s="166">
        <f t="shared" si="88"/>
        <v>0</v>
      </c>
      <c r="J542" s="165">
        <f t="shared" si="89"/>
        <v>100</v>
      </c>
    </row>
    <row r="543" spans="1:10" s="11" customFormat="1">
      <c r="A543" s="79" t="s">
        <v>163</v>
      </c>
      <c r="B543" s="77" t="s">
        <v>310</v>
      </c>
      <c r="C543" s="84"/>
      <c r="D543" s="84"/>
      <c r="E543" s="86"/>
      <c r="F543" s="81"/>
      <c r="G543" s="163">
        <f t="shared" ref="G543:H547" si="93">G544</f>
        <v>300</v>
      </c>
      <c r="H543" s="163">
        <f t="shared" si="93"/>
        <v>300</v>
      </c>
      <c r="I543" s="163">
        <f t="shared" si="88"/>
        <v>0</v>
      </c>
      <c r="J543" s="164">
        <f t="shared" si="89"/>
        <v>100</v>
      </c>
    </row>
    <row r="544" spans="1:10" s="11" customFormat="1">
      <c r="A544" s="79" t="s">
        <v>79</v>
      </c>
      <c r="B544" s="77" t="s">
        <v>310</v>
      </c>
      <c r="C544" s="80" t="s">
        <v>70</v>
      </c>
      <c r="D544" s="80" t="s">
        <v>33</v>
      </c>
      <c r="E544" s="88"/>
      <c r="F544" s="76"/>
      <c r="G544" s="163">
        <f t="shared" si="93"/>
        <v>300</v>
      </c>
      <c r="H544" s="163">
        <f t="shared" si="93"/>
        <v>300</v>
      </c>
      <c r="I544" s="163">
        <f t="shared" si="88"/>
        <v>0</v>
      </c>
      <c r="J544" s="164">
        <f t="shared" si="89"/>
        <v>100</v>
      </c>
    </row>
    <row r="545" spans="1:10" s="11" customFormat="1" ht="22.5">
      <c r="A545" s="82" t="s">
        <v>80</v>
      </c>
      <c r="B545" s="83" t="s">
        <v>310</v>
      </c>
      <c r="C545" s="84" t="s">
        <v>70</v>
      </c>
      <c r="D545" s="84" t="s">
        <v>62</v>
      </c>
      <c r="E545" s="86"/>
      <c r="F545" s="81"/>
      <c r="G545" s="166">
        <f t="shared" si="93"/>
        <v>300</v>
      </c>
      <c r="H545" s="166">
        <f t="shared" si="93"/>
        <v>300</v>
      </c>
      <c r="I545" s="166">
        <f t="shared" si="88"/>
        <v>0</v>
      </c>
      <c r="J545" s="165">
        <f t="shared" si="89"/>
        <v>100</v>
      </c>
    </row>
    <row r="546" spans="1:10" s="11" customFormat="1" ht="22.5">
      <c r="A546" s="85" t="s">
        <v>93</v>
      </c>
      <c r="B546" s="83" t="s">
        <v>310</v>
      </c>
      <c r="C546" s="84" t="s">
        <v>70</v>
      </c>
      <c r="D546" s="84" t="s">
        <v>62</v>
      </c>
      <c r="E546" s="86" t="s">
        <v>94</v>
      </c>
      <c r="F546" s="81"/>
      <c r="G546" s="166">
        <f t="shared" si="93"/>
        <v>300</v>
      </c>
      <c r="H546" s="166">
        <f t="shared" si="93"/>
        <v>300</v>
      </c>
      <c r="I546" s="166">
        <f t="shared" si="88"/>
        <v>0</v>
      </c>
      <c r="J546" s="165">
        <f t="shared" si="89"/>
        <v>100</v>
      </c>
    </row>
    <row r="547" spans="1:10" s="11" customFormat="1" ht="22.5">
      <c r="A547" s="85" t="s">
        <v>97</v>
      </c>
      <c r="B547" s="83" t="s">
        <v>310</v>
      </c>
      <c r="C547" s="84" t="s">
        <v>70</v>
      </c>
      <c r="D547" s="84" t="s">
        <v>62</v>
      </c>
      <c r="E547" s="86" t="s">
        <v>98</v>
      </c>
      <c r="F547" s="81"/>
      <c r="G547" s="166">
        <f t="shared" si="93"/>
        <v>300</v>
      </c>
      <c r="H547" s="166">
        <f t="shared" si="93"/>
        <v>300</v>
      </c>
      <c r="I547" s="166">
        <f t="shared" si="88"/>
        <v>0</v>
      </c>
      <c r="J547" s="165">
        <f t="shared" si="89"/>
        <v>100</v>
      </c>
    </row>
    <row r="548" spans="1:10" s="11" customFormat="1" ht="22.5">
      <c r="A548" s="82" t="s">
        <v>132</v>
      </c>
      <c r="B548" s="83" t="s">
        <v>310</v>
      </c>
      <c r="C548" s="84" t="s">
        <v>70</v>
      </c>
      <c r="D548" s="84" t="s">
        <v>62</v>
      </c>
      <c r="E548" s="86" t="s">
        <v>98</v>
      </c>
      <c r="F548" s="81">
        <v>726</v>
      </c>
      <c r="G548" s="166">
        <v>300</v>
      </c>
      <c r="H548" s="166">
        <v>300</v>
      </c>
      <c r="I548" s="166">
        <f t="shared" si="88"/>
        <v>0</v>
      </c>
      <c r="J548" s="165">
        <f t="shared" si="89"/>
        <v>100</v>
      </c>
    </row>
    <row r="549" spans="1:10" s="11" customFormat="1" ht="21.75">
      <c r="A549" s="89" t="s">
        <v>307</v>
      </c>
      <c r="B549" s="77" t="s">
        <v>308</v>
      </c>
      <c r="C549" s="84"/>
      <c r="D549" s="84"/>
      <c r="E549" s="86"/>
      <c r="F549" s="81"/>
      <c r="G549" s="163">
        <f t="shared" ref="G549:H554" si="94">G550</f>
        <v>170.3</v>
      </c>
      <c r="H549" s="163">
        <f t="shared" si="94"/>
        <v>170.3</v>
      </c>
      <c r="I549" s="163">
        <f t="shared" si="88"/>
        <v>0</v>
      </c>
      <c r="J549" s="164">
        <f t="shared" si="89"/>
        <v>100</v>
      </c>
    </row>
    <row r="550" spans="1:10" s="11" customFormat="1" ht="21.75">
      <c r="A550" s="79" t="s">
        <v>343</v>
      </c>
      <c r="B550" s="77" t="s">
        <v>344</v>
      </c>
      <c r="C550" s="84"/>
      <c r="D550" s="84"/>
      <c r="E550" s="86"/>
      <c r="F550" s="81"/>
      <c r="G550" s="163">
        <f t="shared" si="94"/>
        <v>170.3</v>
      </c>
      <c r="H550" s="163">
        <f t="shared" si="94"/>
        <v>170.3</v>
      </c>
      <c r="I550" s="163">
        <f t="shared" si="88"/>
        <v>0</v>
      </c>
      <c r="J550" s="164">
        <f t="shared" si="89"/>
        <v>100</v>
      </c>
    </row>
    <row r="551" spans="1:10" s="11" customFormat="1">
      <c r="A551" s="79" t="s">
        <v>7</v>
      </c>
      <c r="B551" s="77" t="s">
        <v>344</v>
      </c>
      <c r="C551" s="80" t="s">
        <v>65</v>
      </c>
      <c r="D551" s="80" t="s">
        <v>33</v>
      </c>
      <c r="E551" s="86"/>
      <c r="F551" s="81"/>
      <c r="G551" s="163">
        <f t="shared" si="94"/>
        <v>170.3</v>
      </c>
      <c r="H551" s="163">
        <f t="shared" si="94"/>
        <v>170.3</v>
      </c>
      <c r="I551" s="163">
        <f t="shared" si="88"/>
        <v>0</v>
      </c>
      <c r="J551" s="164">
        <f t="shared" si="89"/>
        <v>100</v>
      </c>
    </row>
    <row r="552" spans="1:10" s="11" customFormat="1" ht="22.5">
      <c r="A552" s="82" t="s">
        <v>334</v>
      </c>
      <c r="B552" s="83" t="s">
        <v>344</v>
      </c>
      <c r="C552" s="84" t="s">
        <v>65</v>
      </c>
      <c r="D552" s="84" t="s">
        <v>65</v>
      </c>
      <c r="E552" s="86"/>
      <c r="F552" s="81"/>
      <c r="G552" s="166">
        <f t="shared" si="94"/>
        <v>170.3</v>
      </c>
      <c r="H552" s="166">
        <f t="shared" si="94"/>
        <v>170.3</v>
      </c>
      <c r="I552" s="166">
        <f t="shared" si="88"/>
        <v>0</v>
      </c>
      <c r="J552" s="165">
        <f t="shared" si="89"/>
        <v>100</v>
      </c>
    </row>
    <row r="553" spans="1:10" s="11" customFormat="1" ht="22.5">
      <c r="A553" s="85" t="s">
        <v>93</v>
      </c>
      <c r="B553" s="83" t="s">
        <v>344</v>
      </c>
      <c r="C553" s="84" t="s">
        <v>65</v>
      </c>
      <c r="D553" s="84" t="s">
        <v>65</v>
      </c>
      <c r="E553" s="86" t="s">
        <v>94</v>
      </c>
      <c r="F553" s="81"/>
      <c r="G553" s="166">
        <f t="shared" si="94"/>
        <v>170.3</v>
      </c>
      <c r="H553" s="166">
        <f t="shared" si="94"/>
        <v>170.3</v>
      </c>
      <c r="I553" s="166">
        <f t="shared" si="88"/>
        <v>0</v>
      </c>
      <c r="J553" s="165">
        <f t="shared" si="89"/>
        <v>100</v>
      </c>
    </row>
    <row r="554" spans="1:10" s="11" customFormat="1" ht="22.5">
      <c r="A554" s="85" t="s">
        <v>97</v>
      </c>
      <c r="B554" s="83" t="s">
        <v>344</v>
      </c>
      <c r="C554" s="84" t="s">
        <v>65</v>
      </c>
      <c r="D554" s="84" t="s">
        <v>65</v>
      </c>
      <c r="E554" s="86" t="s">
        <v>98</v>
      </c>
      <c r="F554" s="81"/>
      <c r="G554" s="166">
        <f t="shared" si="94"/>
        <v>170.3</v>
      </c>
      <c r="H554" s="166">
        <f t="shared" si="94"/>
        <v>170.3</v>
      </c>
      <c r="I554" s="166">
        <f t="shared" si="88"/>
        <v>0</v>
      </c>
      <c r="J554" s="165">
        <f t="shared" si="89"/>
        <v>100</v>
      </c>
    </row>
    <row r="555" spans="1:10" s="11" customFormat="1" ht="22.5">
      <c r="A555" s="82" t="s">
        <v>131</v>
      </c>
      <c r="B555" s="83" t="s">
        <v>344</v>
      </c>
      <c r="C555" s="84" t="s">
        <v>65</v>
      </c>
      <c r="D555" s="84" t="s">
        <v>65</v>
      </c>
      <c r="E555" s="86" t="s">
        <v>98</v>
      </c>
      <c r="F555" s="81">
        <v>725</v>
      </c>
      <c r="G555" s="166">
        <v>170.3</v>
      </c>
      <c r="H555" s="166">
        <v>170.3</v>
      </c>
      <c r="I555" s="166">
        <f t="shared" si="88"/>
        <v>0</v>
      </c>
      <c r="J555" s="165">
        <f t="shared" si="89"/>
        <v>100</v>
      </c>
    </row>
    <row r="556" spans="1:10" s="11" customFormat="1" ht="32.25">
      <c r="A556" s="79" t="s">
        <v>676</v>
      </c>
      <c r="B556" s="77" t="s">
        <v>165</v>
      </c>
      <c r="C556" s="80"/>
      <c r="D556" s="80"/>
      <c r="E556" s="86"/>
      <c r="F556" s="81"/>
      <c r="G556" s="163">
        <f>G557</f>
        <v>1237.9000000000001</v>
      </c>
      <c r="H556" s="163">
        <f>H557</f>
        <v>1237.9000000000001</v>
      </c>
      <c r="I556" s="163">
        <f t="shared" si="88"/>
        <v>0</v>
      </c>
      <c r="J556" s="164">
        <f t="shared" si="89"/>
        <v>100</v>
      </c>
    </row>
    <row r="557" spans="1:10" s="11" customFormat="1" ht="23.25" customHeight="1">
      <c r="A557" s="79" t="s">
        <v>192</v>
      </c>
      <c r="B557" s="77" t="s">
        <v>256</v>
      </c>
      <c r="C557" s="80"/>
      <c r="D557" s="80"/>
      <c r="E557" s="86"/>
      <c r="F557" s="81"/>
      <c r="G557" s="163">
        <f>G564+G570+G558</f>
        <v>1237.9000000000001</v>
      </c>
      <c r="H557" s="163">
        <f>H564+H570+H558</f>
        <v>1237.9000000000001</v>
      </c>
      <c r="I557" s="163">
        <f t="shared" si="88"/>
        <v>0</v>
      </c>
      <c r="J557" s="164">
        <f t="shared" si="89"/>
        <v>100</v>
      </c>
    </row>
    <row r="558" spans="1:10" s="11" customFormat="1" ht="45">
      <c r="A558" s="124" t="s">
        <v>379</v>
      </c>
      <c r="B558" s="83" t="s">
        <v>598</v>
      </c>
      <c r="C558" s="80"/>
      <c r="D558" s="80"/>
      <c r="E558" s="86"/>
      <c r="F558" s="81"/>
      <c r="G558" s="163">
        <f t="shared" ref="G558:H562" si="95">G559</f>
        <v>87.9</v>
      </c>
      <c r="H558" s="163">
        <f t="shared" si="95"/>
        <v>87.9</v>
      </c>
      <c r="I558" s="163">
        <f t="shared" si="88"/>
        <v>0</v>
      </c>
      <c r="J558" s="164">
        <f t="shared" si="89"/>
        <v>100</v>
      </c>
    </row>
    <row r="559" spans="1:10" s="11" customFormat="1" ht="22.5">
      <c r="A559" s="79" t="s">
        <v>79</v>
      </c>
      <c r="B559" s="83" t="s">
        <v>598</v>
      </c>
      <c r="C559" s="80" t="s">
        <v>70</v>
      </c>
      <c r="D559" s="80" t="s">
        <v>33</v>
      </c>
      <c r="E559" s="86"/>
      <c r="F559" s="81"/>
      <c r="G559" s="163">
        <f t="shared" si="95"/>
        <v>87.9</v>
      </c>
      <c r="H559" s="163">
        <f t="shared" si="95"/>
        <v>87.9</v>
      </c>
      <c r="I559" s="163">
        <f t="shared" si="88"/>
        <v>0</v>
      </c>
      <c r="J559" s="164">
        <f t="shared" si="89"/>
        <v>100</v>
      </c>
    </row>
    <row r="560" spans="1:10" s="11" customFormat="1" ht="22.5">
      <c r="A560" s="82" t="s">
        <v>80</v>
      </c>
      <c r="B560" s="83" t="s">
        <v>598</v>
      </c>
      <c r="C560" s="84" t="s">
        <v>70</v>
      </c>
      <c r="D560" s="84" t="s">
        <v>62</v>
      </c>
      <c r="E560" s="86"/>
      <c r="F560" s="81"/>
      <c r="G560" s="166">
        <f t="shared" si="95"/>
        <v>87.9</v>
      </c>
      <c r="H560" s="166">
        <f t="shared" si="95"/>
        <v>87.9</v>
      </c>
      <c r="I560" s="166">
        <f t="shared" si="88"/>
        <v>0</v>
      </c>
      <c r="J560" s="165">
        <f t="shared" si="89"/>
        <v>100</v>
      </c>
    </row>
    <row r="561" spans="1:10" s="11" customFormat="1" ht="23.25" customHeight="1">
      <c r="A561" s="85" t="s">
        <v>93</v>
      </c>
      <c r="B561" s="83" t="s">
        <v>598</v>
      </c>
      <c r="C561" s="84" t="s">
        <v>70</v>
      </c>
      <c r="D561" s="84" t="s">
        <v>62</v>
      </c>
      <c r="E561" s="86" t="s">
        <v>94</v>
      </c>
      <c r="F561" s="81"/>
      <c r="G561" s="166">
        <f t="shared" si="95"/>
        <v>87.9</v>
      </c>
      <c r="H561" s="166">
        <f t="shared" si="95"/>
        <v>87.9</v>
      </c>
      <c r="I561" s="166">
        <f t="shared" si="88"/>
        <v>0</v>
      </c>
      <c r="J561" s="165">
        <f t="shared" si="89"/>
        <v>100</v>
      </c>
    </row>
    <row r="562" spans="1:10" s="11" customFormat="1" ht="22.5">
      <c r="A562" s="85" t="s">
        <v>97</v>
      </c>
      <c r="B562" s="83" t="s">
        <v>598</v>
      </c>
      <c r="C562" s="84" t="s">
        <v>70</v>
      </c>
      <c r="D562" s="84" t="s">
        <v>62</v>
      </c>
      <c r="E562" s="86" t="s">
        <v>98</v>
      </c>
      <c r="F562" s="81"/>
      <c r="G562" s="166">
        <f t="shared" si="95"/>
        <v>87.9</v>
      </c>
      <c r="H562" s="166">
        <f t="shared" si="95"/>
        <v>87.9</v>
      </c>
      <c r="I562" s="166">
        <f t="shared" si="88"/>
        <v>0</v>
      </c>
      <c r="J562" s="165">
        <f t="shared" si="89"/>
        <v>100</v>
      </c>
    </row>
    <row r="563" spans="1:10" s="11" customFormat="1" ht="23.25" customHeight="1">
      <c r="A563" s="82" t="s">
        <v>132</v>
      </c>
      <c r="B563" s="83" t="s">
        <v>598</v>
      </c>
      <c r="C563" s="84" t="s">
        <v>70</v>
      </c>
      <c r="D563" s="84" t="s">
        <v>62</v>
      </c>
      <c r="E563" s="86" t="s">
        <v>98</v>
      </c>
      <c r="F563" s="81">
        <v>726</v>
      </c>
      <c r="G563" s="166">
        <v>87.9</v>
      </c>
      <c r="H563" s="166">
        <v>87.9</v>
      </c>
      <c r="I563" s="166">
        <f t="shared" si="88"/>
        <v>0</v>
      </c>
      <c r="J563" s="165">
        <f t="shared" si="89"/>
        <v>100</v>
      </c>
    </row>
    <row r="564" spans="1:10" s="11" customFormat="1" ht="21">
      <c r="A564" s="79" t="s">
        <v>145</v>
      </c>
      <c r="B564" s="77" t="s">
        <v>258</v>
      </c>
      <c r="C564" s="84"/>
      <c r="D564" s="84"/>
      <c r="E564" s="86"/>
      <c r="F564" s="81"/>
      <c r="G564" s="163">
        <f t="shared" ref="G564:H568" si="96">G565</f>
        <v>300</v>
      </c>
      <c r="H564" s="163">
        <f t="shared" si="96"/>
        <v>300</v>
      </c>
      <c r="I564" s="163">
        <f t="shared" si="88"/>
        <v>0</v>
      </c>
      <c r="J564" s="164">
        <f t="shared" si="89"/>
        <v>100</v>
      </c>
    </row>
    <row r="565" spans="1:10" s="11" customFormat="1" ht="21">
      <c r="A565" s="79" t="s">
        <v>79</v>
      </c>
      <c r="B565" s="77" t="s">
        <v>258</v>
      </c>
      <c r="C565" s="80" t="s">
        <v>70</v>
      </c>
      <c r="D565" s="80" t="s">
        <v>33</v>
      </c>
      <c r="E565" s="86"/>
      <c r="F565" s="81"/>
      <c r="G565" s="163">
        <f t="shared" si="96"/>
        <v>300</v>
      </c>
      <c r="H565" s="163">
        <f t="shared" si="96"/>
        <v>300</v>
      </c>
      <c r="I565" s="163">
        <f t="shared" si="88"/>
        <v>0</v>
      </c>
      <c r="J565" s="164">
        <f t="shared" si="89"/>
        <v>100</v>
      </c>
    </row>
    <row r="566" spans="1:10" s="11" customFormat="1" ht="22.5">
      <c r="A566" s="82" t="s">
        <v>80</v>
      </c>
      <c r="B566" s="83" t="s">
        <v>258</v>
      </c>
      <c r="C566" s="84" t="s">
        <v>70</v>
      </c>
      <c r="D566" s="84" t="s">
        <v>62</v>
      </c>
      <c r="E566" s="86"/>
      <c r="F566" s="81"/>
      <c r="G566" s="166">
        <f t="shared" si="96"/>
        <v>300</v>
      </c>
      <c r="H566" s="166">
        <f t="shared" si="96"/>
        <v>300</v>
      </c>
      <c r="I566" s="166">
        <f t="shared" si="88"/>
        <v>0</v>
      </c>
      <c r="J566" s="165">
        <f t="shared" si="89"/>
        <v>100</v>
      </c>
    </row>
    <row r="567" spans="1:10" s="11" customFormat="1" ht="22.5">
      <c r="A567" s="85" t="s">
        <v>93</v>
      </c>
      <c r="B567" s="83" t="s">
        <v>258</v>
      </c>
      <c r="C567" s="84" t="s">
        <v>70</v>
      </c>
      <c r="D567" s="84" t="s">
        <v>62</v>
      </c>
      <c r="E567" s="86" t="s">
        <v>94</v>
      </c>
      <c r="F567" s="81"/>
      <c r="G567" s="166">
        <f t="shared" si="96"/>
        <v>300</v>
      </c>
      <c r="H567" s="166">
        <f t="shared" si="96"/>
        <v>300</v>
      </c>
      <c r="I567" s="166">
        <f t="shared" si="88"/>
        <v>0</v>
      </c>
      <c r="J567" s="165">
        <f t="shared" si="89"/>
        <v>100</v>
      </c>
    </row>
    <row r="568" spans="1:10" s="11" customFormat="1" ht="22.5">
      <c r="A568" s="85" t="s">
        <v>97</v>
      </c>
      <c r="B568" s="83" t="s">
        <v>258</v>
      </c>
      <c r="C568" s="84" t="s">
        <v>70</v>
      </c>
      <c r="D568" s="84" t="s">
        <v>62</v>
      </c>
      <c r="E568" s="86" t="s">
        <v>98</v>
      </c>
      <c r="F568" s="81"/>
      <c r="G568" s="166">
        <f t="shared" si="96"/>
        <v>300</v>
      </c>
      <c r="H568" s="166">
        <f t="shared" si="96"/>
        <v>300</v>
      </c>
      <c r="I568" s="166">
        <f t="shared" si="88"/>
        <v>0</v>
      </c>
      <c r="J568" s="165">
        <f t="shared" si="89"/>
        <v>100</v>
      </c>
    </row>
    <row r="569" spans="1:10" s="11" customFormat="1" ht="22.5">
      <c r="A569" s="82" t="s">
        <v>132</v>
      </c>
      <c r="B569" s="83" t="s">
        <v>258</v>
      </c>
      <c r="C569" s="84" t="s">
        <v>70</v>
      </c>
      <c r="D569" s="84" t="s">
        <v>62</v>
      </c>
      <c r="E569" s="86" t="s">
        <v>98</v>
      </c>
      <c r="F569" s="81">
        <v>726</v>
      </c>
      <c r="G569" s="166">
        <v>300</v>
      </c>
      <c r="H569" s="166">
        <v>300</v>
      </c>
      <c r="I569" s="166">
        <f t="shared" si="88"/>
        <v>0</v>
      </c>
      <c r="J569" s="165">
        <f t="shared" si="89"/>
        <v>100</v>
      </c>
    </row>
    <row r="570" spans="1:10" s="11" customFormat="1" ht="21.75">
      <c r="A570" s="79" t="s">
        <v>317</v>
      </c>
      <c r="B570" s="77" t="s">
        <v>257</v>
      </c>
      <c r="C570" s="80"/>
      <c r="D570" s="80"/>
      <c r="E570" s="86"/>
      <c r="F570" s="81"/>
      <c r="G570" s="163">
        <f t="shared" ref="G570:H574" si="97">G571</f>
        <v>850</v>
      </c>
      <c r="H570" s="163">
        <f t="shared" si="97"/>
        <v>850</v>
      </c>
      <c r="I570" s="163">
        <f t="shared" si="88"/>
        <v>0</v>
      </c>
      <c r="J570" s="164">
        <f t="shared" si="89"/>
        <v>100</v>
      </c>
    </row>
    <row r="571" spans="1:10" s="11" customFormat="1" ht="21">
      <c r="A571" s="79" t="s">
        <v>79</v>
      </c>
      <c r="B571" s="77" t="s">
        <v>257</v>
      </c>
      <c r="C571" s="80" t="s">
        <v>70</v>
      </c>
      <c r="D571" s="80" t="s">
        <v>33</v>
      </c>
      <c r="E571" s="86"/>
      <c r="F571" s="81"/>
      <c r="G571" s="163">
        <f t="shared" si="97"/>
        <v>850</v>
      </c>
      <c r="H571" s="163">
        <f t="shared" si="97"/>
        <v>850</v>
      </c>
      <c r="I571" s="163">
        <f t="shared" si="88"/>
        <v>0</v>
      </c>
      <c r="J571" s="164">
        <f t="shared" si="89"/>
        <v>100</v>
      </c>
    </row>
    <row r="572" spans="1:10" s="11" customFormat="1" ht="22.5">
      <c r="A572" s="82" t="s">
        <v>80</v>
      </c>
      <c r="B572" s="83" t="s">
        <v>257</v>
      </c>
      <c r="C572" s="84" t="s">
        <v>70</v>
      </c>
      <c r="D572" s="84" t="s">
        <v>62</v>
      </c>
      <c r="E572" s="86"/>
      <c r="F572" s="81"/>
      <c r="G572" s="166">
        <f t="shared" si="97"/>
        <v>850</v>
      </c>
      <c r="H572" s="166">
        <f t="shared" si="97"/>
        <v>850</v>
      </c>
      <c r="I572" s="166">
        <f t="shared" si="88"/>
        <v>0</v>
      </c>
      <c r="J572" s="165">
        <f t="shared" si="89"/>
        <v>100</v>
      </c>
    </row>
    <row r="573" spans="1:10" s="11" customFormat="1" ht="22.5">
      <c r="A573" s="85" t="s">
        <v>93</v>
      </c>
      <c r="B573" s="83" t="s">
        <v>257</v>
      </c>
      <c r="C573" s="84" t="s">
        <v>70</v>
      </c>
      <c r="D573" s="84" t="s">
        <v>62</v>
      </c>
      <c r="E573" s="86" t="s">
        <v>94</v>
      </c>
      <c r="F573" s="81"/>
      <c r="G573" s="166">
        <f t="shared" si="97"/>
        <v>850</v>
      </c>
      <c r="H573" s="166">
        <f t="shared" si="97"/>
        <v>850</v>
      </c>
      <c r="I573" s="166">
        <f t="shared" si="88"/>
        <v>0</v>
      </c>
      <c r="J573" s="165">
        <f t="shared" si="89"/>
        <v>100</v>
      </c>
    </row>
    <row r="574" spans="1:10" s="11" customFormat="1" ht="22.5">
      <c r="A574" s="85" t="s">
        <v>97</v>
      </c>
      <c r="B574" s="83" t="s">
        <v>257</v>
      </c>
      <c r="C574" s="84" t="s">
        <v>70</v>
      </c>
      <c r="D574" s="84" t="s">
        <v>62</v>
      </c>
      <c r="E574" s="86" t="s">
        <v>98</v>
      </c>
      <c r="F574" s="81"/>
      <c r="G574" s="166">
        <f t="shared" si="97"/>
        <v>850</v>
      </c>
      <c r="H574" s="166">
        <f t="shared" si="97"/>
        <v>850</v>
      </c>
      <c r="I574" s="166">
        <f t="shared" si="88"/>
        <v>0</v>
      </c>
      <c r="J574" s="165">
        <f t="shared" si="89"/>
        <v>100</v>
      </c>
    </row>
    <row r="575" spans="1:10" s="11" customFormat="1" ht="22.5">
      <c r="A575" s="82" t="s">
        <v>132</v>
      </c>
      <c r="B575" s="83" t="s">
        <v>257</v>
      </c>
      <c r="C575" s="84" t="s">
        <v>70</v>
      </c>
      <c r="D575" s="84" t="s">
        <v>62</v>
      </c>
      <c r="E575" s="86" t="s">
        <v>98</v>
      </c>
      <c r="F575" s="81">
        <v>726</v>
      </c>
      <c r="G575" s="166">
        <f>580+270</f>
        <v>850</v>
      </c>
      <c r="H575" s="166">
        <v>850</v>
      </c>
      <c r="I575" s="166">
        <f t="shared" si="88"/>
        <v>0</v>
      </c>
      <c r="J575" s="165">
        <f t="shared" si="89"/>
        <v>100</v>
      </c>
    </row>
    <row r="576" spans="1:10" s="11" customFormat="1" ht="32.25" customHeight="1">
      <c r="A576" s="89" t="s">
        <v>677</v>
      </c>
      <c r="B576" s="77" t="s">
        <v>139</v>
      </c>
      <c r="C576" s="84"/>
      <c r="D576" s="84"/>
      <c r="E576" s="88"/>
      <c r="F576" s="76"/>
      <c r="G576" s="163">
        <f t="shared" ref="G576:H582" si="98">G577</f>
        <v>350</v>
      </c>
      <c r="H576" s="163">
        <f t="shared" si="98"/>
        <v>343.9</v>
      </c>
      <c r="I576" s="163">
        <f t="shared" si="88"/>
        <v>6.1000000000000227</v>
      </c>
      <c r="J576" s="164">
        <f t="shared" si="89"/>
        <v>98.257142857142853</v>
      </c>
    </row>
    <row r="577" spans="1:10" s="11" customFormat="1" ht="42" customHeight="1">
      <c r="A577" s="89" t="s">
        <v>284</v>
      </c>
      <c r="B577" s="77" t="s">
        <v>227</v>
      </c>
      <c r="C577" s="84"/>
      <c r="D577" s="84"/>
      <c r="E577" s="88"/>
      <c r="F577" s="76"/>
      <c r="G577" s="163">
        <f t="shared" si="98"/>
        <v>350</v>
      </c>
      <c r="H577" s="163">
        <f t="shared" si="98"/>
        <v>343.9</v>
      </c>
      <c r="I577" s="163">
        <f t="shared" si="88"/>
        <v>6.1000000000000227</v>
      </c>
      <c r="J577" s="164">
        <f t="shared" si="89"/>
        <v>98.257142857142853</v>
      </c>
    </row>
    <row r="578" spans="1:10" s="11" customFormat="1" ht="21.75" customHeight="1">
      <c r="A578" s="89" t="s">
        <v>138</v>
      </c>
      <c r="B578" s="77" t="s">
        <v>228</v>
      </c>
      <c r="C578" s="84"/>
      <c r="D578" s="84"/>
      <c r="E578" s="88"/>
      <c r="F578" s="76"/>
      <c r="G578" s="163">
        <f t="shared" si="98"/>
        <v>350</v>
      </c>
      <c r="H578" s="163">
        <f t="shared" si="98"/>
        <v>343.9</v>
      </c>
      <c r="I578" s="163">
        <f t="shared" si="88"/>
        <v>6.1000000000000227</v>
      </c>
      <c r="J578" s="164">
        <f t="shared" si="89"/>
        <v>98.257142857142853</v>
      </c>
    </row>
    <row r="579" spans="1:10" s="11" customFormat="1" ht="21.75">
      <c r="A579" s="89" t="s">
        <v>4</v>
      </c>
      <c r="B579" s="77" t="s">
        <v>228</v>
      </c>
      <c r="C579" s="80" t="s">
        <v>66</v>
      </c>
      <c r="D579" s="80" t="s">
        <v>33</v>
      </c>
      <c r="E579" s="88"/>
      <c r="F579" s="76"/>
      <c r="G579" s="163">
        <f t="shared" si="98"/>
        <v>350</v>
      </c>
      <c r="H579" s="163">
        <f t="shared" si="98"/>
        <v>343.9</v>
      </c>
      <c r="I579" s="163">
        <f t="shared" si="88"/>
        <v>6.1000000000000227</v>
      </c>
      <c r="J579" s="164">
        <f t="shared" si="89"/>
        <v>98.257142857142853</v>
      </c>
    </row>
    <row r="580" spans="1:10" s="11" customFormat="1" ht="22.5">
      <c r="A580" s="85" t="s">
        <v>76</v>
      </c>
      <c r="B580" s="83" t="s">
        <v>228</v>
      </c>
      <c r="C580" s="84" t="s">
        <v>66</v>
      </c>
      <c r="D580" s="84" t="s">
        <v>71</v>
      </c>
      <c r="E580" s="86"/>
      <c r="F580" s="81"/>
      <c r="G580" s="166">
        <f t="shared" si="98"/>
        <v>350</v>
      </c>
      <c r="H580" s="166">
        <f t="shared" si="98"/>
        <v>343.9</v>
      </c>
      <c r="I580" s="166">
        <f t="shared" si="88"/>
        <v>6.1000000000000227</v>
      </c>
      <c r="J580" s="165">
        <f t="shared" si="89"/>
        <v>98.257142857142853</v>
      </c>
    </row>
    <row r="581" spans="1:10" s="11" customFormat="1" ht="22.5">
      <c r="A581" s="85" t="s">
        <v>331</v>
      </c>
      <c r="B581" s="83" t="s">
        <v>228</v>
      </c>
      <c r="C581" s="84" t="s">
        <v>66</v>
      </c>
      <c r="D581" s="84" t="s">
        <v>71</v>
      </c>
      <c r="E581" s="91" t="s">
        <v>92</v>
      </c>
      <c r="F581" s="81"/>
      <c r="G581" s="166">
        <f t="shared" si="98"/>
        <v>350</v>
      </c>
      <c r="H581" s="166">
        <f t="shared" si="98"/>
        <v>343.9</v>
      </c>
      <c r="I581" s="166">
        <f t="shared" si="88"/>
        <v>6.1000000000000227</v>
      </c>
      <c r="J581" s="165">
        <f t="shared" si="89"/>
        <v>98.257142857142853</v>
      </c>
    </row>
    <row r="582" spans="1:10" s="11" customFormat="1" ht="27.6" customHeight="1">
      <c r="A582" s="85" t="s">
        <v>558</v>
      </c>
      <c r="B582" s="83" t="s">
        <v>228</v>
      </c>
      <c r="C582" s="84" t="s">
        <v>66</v>
      </c>
      <c r="D582" s="84" t="s">
        <v>71</v>
      </c>
      <c r="E582" s="91" t="s">
        <v>89</v>
      </c>
      <c r="F582" s="81"/>
      <c r="G582" s="166">
        <f t="shared" si="98"/>
        <v>350</v>
      </c>
      <c r="H582" s="166">
        <f t="shared" si="98"/>
        <v>343.9</v>
      </c>
      <c r="I582" s="166">
        <f t="shared" si="88"/>
        <v>6.1000000000000227</v>
      </c>
      <c r="J582" s="165">
        <f t="shared" si="89"/>
        <v>98.257142857142853</v>
      </c>
    </row>
    <row r="583" spans="1:10" s="11" customFormat="1" ht="22.5">
      <c r="A583" s="82" t="s">
        <v>128</v>
      </c>
      <c r="B583" s="83" t="s">
        <v>228</v>
      </c>
      <c r="C583" s="84" t="s">
        <v>66</v>
      </c>
      <c r="D583" s="84" t="s">
        <v>71</v>
      </c>
      <c r="E583" s="86" t="s">
        <v>89</v>
      </c>
      <c r="F583" s="81">
        <v>721</v>
      </c>
      <c r="G583" s="166">
        <v>350</v>
      </c>
      <c r="H583" s="166">
        <v>343.9</v>
      </c>
      <c r="I583" s="166">
        <f t="shared" si="88"/>
        <v>6.1000000000000227</v>
      </c>
      <c r="J583" s="165">
        <f t="shared" si="89"/>
        <v>98.257142857142853</v>
      </c>
    </row>
    <row r="584" spans="1:10" s="11" customFormat="1" ht="32.25">
      <c r="A584" s="89" t="s">
        <v>692</v>
      </c>
      <c r="B584" s="77" t="s">
        <v>578</v>
      </c>
      <c r="C584" s="84"/>
      <c r="D584" s="84"/>
      <c r="E584" s="88"/>
      <c r="F584" s="76"/>
      <c r="G584" s="164">
        <f t="shared" ref="G584:H588" si="99">G585</f>
        <v>1000</v>
      </c>
      <c r="H584" s="164">
        <f t="shared" si="99"/>
        <v>880</v>
      </c>
      <c r="I584" s="163">
        <f t="shared" si="88"/>
        <v>120</v>
      </c>
      <c r="J584" s="164">
        <f t="shared" si="89"/>
        <v>88</v>
      </c>
    </row>
    <row r="585" spans="1:10" s="11" customFormat="1" ht="32.25">
      <c r="A585" s="79" t="s">
        <v>582</v>
      </c>
      <c r="B585" s="77" t="s">
        <v>579</v>
      </c>
      <c r="C585" s="80"/>
      <c r="D585" s="80"/>
      <c r="E585" s="88"/>
      <c r="F585" s="76"/>
      <c r="G585" s="164">
        <f t="shared" si="99"/>
        <v>1000</v>
      </c>
      <c r="H585" s="164">
        <f t="shared" si="99"/>
        <v>880</v>
      </c>
      <c r="I585" s="163">
        <f t="shared" si="88"/>
        <v>120</v>
      </c>
      <c r="J585" s="164">
        <f t="shared" si="89"/>
        <v>88</v>
      </c>
    </row>
    <row r="586" spans="1:10" s="11" customFormat="1" ht="21.75">
      <c r="A586" s="79" t="s">
        <v>581</v>
      </c>
      <c r="B586" s="86" t="s">
        <v>580</v>
      </c>
      <c r="C586" s="80"/>
      <c r="D586" s="80"/>
      <c r="E586" s="88"/>
      <c r="F586" s="76"/>
      <c r="G586" s="164">
        <f t="shared" si="99"/>
        <v>1000</v>
      </c>
      <c r="H586" s="164">
        <f t="shared" si="99"/>
        <v>880</v>
      </c>
      <c r="I586" s="163">
        <f t="shared" ref="I586:I649" si="100">G586-H586</f>
        <v>120</v>
      </c>
      <c r="J586" s="164">
        <f t="shared" ref="J586:J649" si="101">H586/G586*100</f>
        <v>88</v>
      </c>
    </row>
    <row r="587" spans="1:10" s="11" customFormat="1" ht="22.5">
      <c r="A587" s="85" t="s">
        <v>331</v>
      </c>
      <c r="B587" s="86" t="s">
        <v>580</v>
      </c>
      <c r="C587" s="84" t="s">
        <v>62</v>
      </c>
      <c r="D587" s="84" t="s">
        <v>83</v>
      </c>
      <c r="E587" s="91" t="s">
        <v>92</v>
      </c>
      <c r="F587" s="81"/>
      <c r="G587" s="165">
        <f t="shared" si="99"/>
        <v>1000</v>
      </c>
      <c r="H587" s="165">
        <f t="shared" si="99"/>
        <v>880</v>
      </c>
      <c r="I587" s="166">
        <f t="shared" si="100"/>
        <v>120</v>
      </c>
      <c r="J587" s="165">
        <f t="shared" si="101"/>
        <v>88</v>
      </c>
    </row>
    <row r="588" spans="1:10" s="11" customFormat="1" ht="22.5">
      <c r="A588" s="85" t="s">
        <v>562</v>
      </c>
      <c r="B588" s="86" t="s">
        <v>580</v>
      </c>
      <c r="C588" s="84" t="s">
        <v>62</v>
      </c>
      <c r="D588" s="84" t="s">
        <v>83</v>
      </c>
      <c r="E588" s="91" t="s">
        <v>89</v>
      </c>
      <c r="F588" s="81"/>
      <c r="G588" s="165">
        <f t="shared" si="99"/>
        <v>1000</v>
      </c>
      <c r="H588" s="165">
        <f t="shared" si="99"/>
        <v>880</v>
      </c>
      <c r="I588" s="166">
        <f t="shared" si="100"/>
        <v>120</v>
      </c>
      <c r="J588" s="165">
        <f t="shared" si="101"/>
        <v>88</v>
      </c>
    </row>
    <row r="589" spans="1:10" s="11" customFormat="1" ht="19.5" customHeight="1">
      <c r="A589" s="87" t="s">
        <v>136</v>
      </c>
      <c r="B589" s="86" t="s">
        <v>580</v>
      </c>
      <c r="C589" s="84" t="s">
        <v>62</v>
      </c>
      <c r="D589" s="84" t="s">
        <v>83</v>
      </c>
      <c r="E589" s="86" t="s">
        <v>89</v>
      </c>
      <c r="F589" s="81">
        <v>724</v>
      </c>
      <c r="G589" s="165">
        <f>944+56</f>
        <v>1000</v>
      </c>
      <c r="H589" s="165">
        <f>830.7+49.3</f>
        <v>880</v>
      </c>
      <c r="I589" s="166">
        <f t="shared" si="100"/>
        <v>120</v>
      </c>
      <c r="J589" s="165">
        <f t="shared" si="101"/>
        <v>88</v>
      </c>
    </row>
    <row r="590" spans="1:10" s="11" customFormat="1" ht="31.15" customHeight="1">
      <c r="A590" s="79" t="s">
        <v>686</v>
      </c>
      <c r="B590" s="77" t="s">
        <v>144</v>
      </c>
      <c r="C590" s="84"/>
      <c r="D590" s="84"/>
      <c r="E590" s="86"/>
      <c r="F590" s="81"/>
      <c r="G590" s="163">
        <f>G591</f>
        <v>4127.4000000000005</v>
      </c>
      <c r="H590" s="163">
        <f>H591</f>
        <v>4095.7</v>
      </c>
      <c r="I590" s="163">
        <f t="shared" si="100"/>
        <v>31.700000000000728</v>
      </c>
      <c r="J590" s="164">
        <f t="shared" si="101"/>
        <v>99.231962009982055</v>
      </c>
    </row>
    <row r="591" spans="1:10" s="11" customFormat="1" ht="23.25" customHeight="1">
      <c r="A591" s="79" t="s">
        <v>546</v>
      </c>
      <c r="B591" s="77" t="s">
        <v>232</v>
      </c>
      <c r="C591" s="84"/>
      <c r="D591" s="84"/>
      <c r="E591" s="86"/>
      <c r="F591" s="81"/>
      <c r="G591" s="163">
        <f>G592+G608+G626+G620+G602+G614</f>
        <v>4127.4000000000005</v>
      </c>
      <c r="H591" s="163">
        <f>H592+H608+H626+H620+H602+H614</f>
        <v>4095.7</v>
      </c>
      <c r="I591" s="163">
        <f t="shared" si="100"/>
        <v>31.700000000000728</v>
      </c>
      <c r="J591" s="164">
        <f t="shared" si="101"/>
        <v>99.231962009982055</v>
      </c>
    </row>
    <row r="592" spans="1:10" s="11" customFormat="1" ht="24" customHeight="1">
      <c r="A592" s="79" t="s">
        <v>294</v>
      </c>
      <c r="B592" s="77" t="s">
        <v>295</v>
      </c>
      <c r="C592" s="84"/>
      <c r="D592" s="84"/>
      <c r="E592" s="86"/>
      <c r="F592" s="81"/>
      <c r="G592" s="163">
        <f>G593</f>
        <v>188.70000000000002</v>
      </c>
      <c r="H592" s="163">
        <f>H593</f>
        <v>188.3</v>
      </c>
      <c r="I592" s="163">
        <f t="shared" si="100"/>
        <v>0.40000000000000568</v>
      </c>
      <c r="J592" s="164">
        <f t="shared" si="101"/>
        <v>99.788023317435076</v>
      </c>
    </row>
    <row r="593" spans="1:10" s="11" customFormat="1" ht="21">
      <c r="A593" s="79" t="s">
        <v>7</v>
      </c>
      <c r="B593" s="77" t="s">
        <v>295</v>
      </c>
      <c r="C593" s="80" t="s">
        <v>65</v>
      </c>
      <c r="D593" s="80" t="s">
        <v>33</v>
      </c>
      <c r="E593" s="86"/>
      <c r="F593" s="81"/>
      <c r="G593" s="163">
        <f>G594+G598</f>
        <v>188.70000000000002</v>
      </c>
      <c r="H593" s="163">
        <f>H594+H598</f>
        <v>188.3</v>
      </c>
      <c r="I593" s="163">
        <f t="shared" si="100"/>
        <v>0.40000000000000568</v>
      </c>
      <c r="J593" s="164">
        <f t="shared" si="101"/>
        <v>99.788023317435076</v>
      </c>
    </row>
    <row r="594" spans="1:10" s="11" customFormat="1" ht="22.5">
      <c r="A594" s="82" t="s">
        <v>8</v>
      </c>
      <c r="B594" s="83" t="s">
        <v>295</v>
      </c>
      <c r="C594" s="84" t="s">
        <v>65</v>
      </c>
      <c r="D594" s="84" t="s">
        <v>62</v>
      </c>
      <c r="E594" s="86"/>
      <c r="F594" s="81"/>
      <c r="G594" s="166">
        <f t="shared" ref="G594:H596" si="102">G595</f>
        <v>75.400000000000006</v>
      </c>
      <c r="H594" s="166">
        <f t="shared" si="102"/>
        <v>75.3</v>
      </c>
      <c r="I594" s="166">
        <f t="shared" si="100"/>
        <v>0.10000000000000853</v>
      </c>
      <c r="J594" s="165">
        <f t="shared" si="101"/>
        <v>99.867374005305038</v>
      </c>
    </row>
    <row r="595" spans="1:10" s="11" customFormat="1" ht="22.5">
      <c r="A595" s="85" t="s">
        <v>93</v>
      </c>
      <c r="B595" s="83" t="s">
        <v>295</v>
      </c>
      <c r="C595" s="84" t="s">
        <v>65</v>
      </c>
      <c r="D595" s="84" t="s">
        <v>62</v>
      </c>
      <c r="E595" s="86" t="s">
        <v>94</v>
      </c>
      <c r="F595" s="81"/>
      <c r="G595" s="166">
        <f t="shared" si="102"/>
        <v>75.400000000000006</v>
      </c>
      <c r="H595" s="166">
        <f t="shared" si="102"/>
        <v>75.3</v>
      </c>
      <c r="I595" s="166">
        <f t="shared" si="100"/>
        <v>0.10000000000000853</v>
      </c>
      <c r="J595" s="165">
        <f t="shared" si="101"/>
        <v>99.867374005305038</v>
      </c>
    </row>
    <row r="596" spans="1:10" s="11" customFormat="1" ht="22.5">
      <c r="A596" s="85" t="s">
        <v>97</v>
      </c>
      <c r="B596" s="83" t="s">
        <v>295</v>
      </c>
      <c r="C596" s="84" t="s">
        <v>65</v>
      </c>
      <c r="D596" s="84" t="s">
        <v>62</v>
      </c>
      <c r="E596" s="86" t="s">
        <v>98</v>
      </c>
      <c r="F596" s="81"/>
      <c r="G596" s="166">
        <f t="shared" si="102"/>
        <v>75.400000000000006</v>
      </c>
      <c r="H596" s="166">
        <f t="shared" si="102"/>
        <v>75.3</v>
      </c>
      <c r="I596" s="166">
        <f t="shared" si="100"/>
        <v>0.10000000000000853</v>
      </c>
      <c r="J596" s="165">
        <f t="shared" si="101"/>
        <v>99.867374005305038</v>
      </c>
    </row>
    <row r="597" spans="1:10" s="11" customFormat="1" ht="22.5">
      <c r="A597" s="82" t="s">
        <v>131</v>
      </c>
      <c r="B597" s="83" t="s">
        <v>295</v>
      </c>
      <c r="C597" s="84" t="s">
        <v>65</v>
      </c>
      <c r="D597" s="84" t="s">
        <v>62</v>
      </c>
      <c r="E597" s="86" t="s">
        <v>98</v>
      </c>
      <c r="F597" s="81">
        <v>725</v>
      </c>
      <c r="G597" s="166">
        <f>126-50.6</f>
        <v>75.400000000000006</v>
      </c>
      <c r="H597" s="166">
        <v>75.3</v>
      </c>
      <c r="I597" s="166">
        <f t="shared" si="100"/>
        <v>0.10000000000000853</v>
      </c>
      <c r="J597" s="165">
        <f t="shared" si="101"/>
        <v>99.867374005305038</v>
      </c>
    </row>
    <row r="598" spans="1:10" s="11" customFormat="1" ht="22.5">
      <c r="A598" s="82" t="s">
        <v>349</v>
      </c>
      <c r="B598" s="83" t="s">
        <v>295</v>
      </c>
      <c r="C598" s="84" t="s">
        <v>65</v>
      </c>
      <c r="D598" s="84" t="s">
        <v>63</v>
      </c>
      <c r="E598" s="86"/>
      <c r="F598" s="81"/>
      <c r="G598" s="166">
        <f t="shared" ref="G598:H600" si="103">G599</f>
        <v>113.30000000000001</v>
      </c>
      <c r="H598" s="166">
        <f t="shared" si="103"/>
        <v>113</v>
      </c>
      <c r="I598" s="166">
        <f t="shared" si="100"/>
        <v>0.30000000000001137</v>
      </c>
      <c r="J598" s="165">
        <f t="shared" si="101"/>
        <v>99.735216240070599</v>
      </c>
    </row>
    <row r="599" spans="1:10" s="11" customFormat="1" ht="22.5">
      <c r="A599" s="85" t="s">
        <v>93</v>
      </c>
      <c r="B599" s="83" t="s">
        <v>295</v>
      </c>
      <c r="C599" s="84" t="s">
        <v>65</v>
      </c>
      <c r="D599" s="84" t="s">
        <v>63</v>
      </c>
      <c r="E599" s="86" t="s">
        <v>94</v>
      </c>
      <c r="F599" s="81"/>
      <c r="G599" s="166">
        <f t="shared" si="103"/>
        <v>113.30000000000001</v>
      </c>
      <c r="H599" s="166">
        <f t="shared" si="103"/>
        <v>113</v>
      </c>
      <c r="I599" s="166">
        <f t="shared" si="100"/>
        <v>0.30000000000001137</v>
      </c>
      <c r="J599" s="165">
        <f t="shared" si="101"/>
        <v>99.735216240070599</v>
      </c>
    </row>
    <row r="600" spans="1:10" s="11" customFormat="1" ht="22.5">
      <c r="A600" s="85" t="s">
        <v>97</v>
      </c>
      <c r="B600" s="83" t="s">
        <v>295</v>
      </c>
      <c r="C600" s="84" t="s">
        <v>65</v>
      </c>
      <c r="D600" s="84" t="s">
        <v>63</v>
      </c>
      <c r="E600" s="86" t="s">
        <v>98</v>
      </c>
      <c r="F600" s="81"/>
      <c r="G600" s="166">
        <f t="shared" si="103"/>
        <v>113.30000000000001</v>
      </c>
      <c r="H600" s="166">
        <f t="shared" si="103"/>
        <v>113</v>
      </c>
      <c r="I600" s="166">
        <f t="shared" si="100"/>
        <v>0.30000000000001137</v>
      </c>
      <c r="J600" s="165">
        <f t="shared" si="101"/>
        <v>99.735216240070599</v>
      </c>
    </row>
    <row r="601" spans="1:10" s="11" customFormat="1" ht="11.25" customHeight="1">
      <c r="A601" s="82" t="s">
        <v>131</v>
      </c>
      <c r="B601" s="83" t="s">
        <v>295</v>
      </c>
      <c r="C601" s="84" t="s">
        <v>65</v>
      </c>
      <c r="D601" s="84" t="s">
        <v>63</v>
      </c>
      <c r="E601" s="86" t="s">
        <v>98</v>
      </c>
      <c r="F601" s="81">
        <v>725</v>
      </c>
      <c r="G601" s="166">
        <f>276-162.7</f>
        <v>113.30000000000001</v>
      </c>
      <c r="H601" s="166">
        <v>113</v>
      </c>
      <c r="I601" s="166">
        <f t="shared" si="100"/>
        <v>0.30000000000001137</v>
      </c>
      <c r="J601" s="165">
        <f t="shared" si="101"/>
        <v>99.735216240070599</v>
      </c>
    </row>
    <row r="602" spans="1:10" s="58" customFormat="1" ht="21.75">
      <c r="A602" s="89" t="s">
        <v>389</v>
      </c>
      <c r="B602" s="88" t="s">
        <v>298</v>
      </c>
      <c r="C602" s="80"/>
      <c r="D602" s="80"/>
      <c r="E602" s="88"/>
      <c r="F602" s="76"/>
      <c r="G602" s="163">
        <f t="shared" ref="G602:H606" si="104">G603</f>
        <v>1248.2000000000003</v>
      </c>
      <c r="H602" s="163">
        <f t="shared" si="104"/>
        <v>1248.2</v>
      </c>
      <c r="I602" s="163">
        <f t="shared" si="100"/>
        <v>0</v>
      </c>
      <c r="J602" s="164">
        <f t="shared" si="101"/>
        <v>99.999999999999972</v>
      </c>
    </row>
    <row r="603" spans="1:10" s="58" customFormat="1">
      <c r="A603" s="79" t="s">
        <v>7</v>
      </c>
      <c r="B603" s="88" t="s">
        <v>298</v>
      </c>
      <c r="C603" s="80" t="s">
        <v>65</v>
      </c>
      <c r="D603" s="80" t="s">
        <v>33</v>
      </c>
      <c r="E603" s="88"/>
      <c r="F603" s="76"/>
      <c r="G603" s="163">
        <f t="shared" si="104"/>
        <v>1248.2000000000003</v>
      </c>
      <c r="H603" s="163">
        <f t="shared" si="104"/>
        <v>1248.2</v>
      </c>
      <c r="I603" s="163">
        <f t="shared" si="100"/>
        <v>0</v>
      </c>
      <c r="J603" s="164">
        <f t="shared" si="101"/>
        <v>99.999999999999972</v>
      </c>
    </row>
    <row r="604" spans="1:10" s="11" customFormat="1">
      <c r="A604" s="82" t="s">
        <v>349</v>
      </c>
      <c r="B604" s="86" t="s">
        <v>298</v>
      </c>
      <c r="C604" s="84" t="s">
        <v>65</v>
      </c>
      <c r="D604" s="84" t="s">
        <v>63</v>
      </c>
      <c r="E604" s="86"/>
      <c r="F604" s="81"/>
      <c r="G604" s="166">
        <f t="shared" si="104"/>
        <v>1248.2000000000003</v>
      </c>
      <c r="H604" s="166">
        <f t="shared" si="104"/>
        <v>1248.2</v>
      </c>
      <c r="I604" s="166">
        <f t="shared" si="100"/>
        <v>0</v>
      </c>
      <c r="J604" s="165">
        <f t="shared" si="101"/>
        <v>99.999999999999972</v>
      </c>
    </row>
    <row r="605" spans="1:10" s="11" customFormat="1" ht="22.5">
      <c r="A605" s="85" t="s">
        <v>93</v>
      </c>
      <c r="B605" s="86" t="s">
        <v>298</v>
      </c>
      <c r="C605" s="84" t="s">
        <v>65</v>
      </c>
      <c r="D605" s="84" t="s">
        <v>63</v>
      </c>
      <c r="E605" s="86" t="s">
        <v>94</v>
      </c>
      <c r="F605" s="81"/>
      <c r="G605" s="166">
        <f t="shared" si="104"/>
        <v>1248.2000000000003</v>
      </c>
      <c r="H605" s="166">
        <f t="shared" si="104"/>
        <v>1248.2</v>
      </c>
      <c r="I605" s="166">
        <f t="shared" si="100"/>
        <v>0</v>
      </c>
      <c r="J605" s="165">
        <f t="shared" si="101"/>
        <v>99.999999999999972</v>
      </c>
    </row>
    <row r="606" spans="1:10" s="11" customFormat="1">
      <c r="A606" s="85" t="s">
        <v>97</v>
      </c>
      <c r="B606" s="86" t="s">
        <v>298</v>
      </c>
      <c r="C606" s="84" t="s">
        <v>65</v>
      </c>
      <c r="D606" s="84" t="s">
        <v>63</v>
      </c>
      <c r="E606" s="86" t="s">
        <v>98</v>
      </c>
      <c r="F606" s="81"/>
      <c r="G606" s="166">
        <f t="shared" si="104"/>
        <v>1248.2000000000003</v>
      </c>
      <c r="H606" s="166">
        <f t="shared" si="104"/>
        <v>1248.2</v>
      </c>
      <c r="I606" s="166">
        <f t="shared" si="100"/>
        <v>0</v>
      </c>
      <c r="J606" s="165">
        <f t="shared" si="101"/>
        <v>99.999999999999972</v>
      </c>
    </row>
    <row r="607" spans="1:10" s="11" customFormat="1" ht="22.5">
      <c r="A607" s="82" t="s">
        <v>131</v>
      </c>
      <c r="B607" s="86" t="s">
        <v>298</v>
      </c>
      <c r="C607" s="84" t="s">
        <v>65</v>
      </c>
      <c r="D607" s="84" t="s">
        <v>63</v>
      </c>
      <c r="E607" s="86" t="s">
        <v>98</v>
      </c>
      <c r="F607" s="81">
        <v>725</v>
      </c>
      <c r="G607" s="166">
        <f>1777.4-453.1-76.1</f>
        <v>1248.2000000000003</v>
      </c>
      <c r="H607" s="166">
        <v>1248.2</v>
      </c>
      <c r="I607" s="166">
        <f t="shared" si="100"/>
        <v>0</v>
      </c>
      <c r="J607" s="165">
        <f t="shared" si="101"/>
        <v>99.999999999999972</v>
      </c>
    </row>
    <row r="608" spans="1:10" s="11" customFormat="1" ht="28.9" customHeight="1">
      <c r="A608" s="89" t="s">
        <v>390</v>
      </c>
      <c r="B608" s="88" t="s">
        <v>299</v>
      </c>
      <c r="C608" s="84"/>
      <c r="D608" s="84"/>
      <c r="E608" s="86"/>
      <c r="F608" s="81"/>
      <c r="G608" s="163">
        <f t="shared" ref="G608:H612" si="105">G609</f>
        <v>1537.5</v>
      </c>
      <c r="H608" s="163">
        <f t="shared" si="105"/>
        <v>1537.3</v>
      </c>
      <c r="I608" s="163">
        <f t="shared" si="100"/>
        <v>0.20000000000004547</v>
      </c>
      <c r="J608" s="164">
        <f t="shared" si="101"/>
        <v>99.986991869918697</v>
      </c>
    </row>
    <row r="609" spans="1:10" s="11" customFormat="1">
      <c r="A609" s="79" t="s">
        <v>7</v>
      </c>
      <c r="B609" s="88" t="s">
        <v>299</v>
      </c>
      <c r="C609" s="80" t="s">
        <v>65</v>
      </c>
      <c r="D609" s="80" t="s">
        <v>33</v>
      </c>
      <c r="E609" s="86"/>
      <c r="F609" s="81"/>
      <c r="G609" s="163">
        <f t="shared" si="105"/>
        <v>1537.5</v>
      </c>
      <c r="H609" s="163">
        <f t="shared" si="105"/>
        <v>1537.3</v>
      </c>
      <c r="I609" s="163">
        <f t="shared" si="100"/>
        <v>0.20000000000004547</v>
      </c>
      <c r="J609" s="164">
        <f t="shared" si="101"/>
        <v>99.986991869918697</v>
      </c>
    </row>
    <row r="610" spans="1:10" s="11" customFormat="1">
      <c r="A610" s="82" t="s">
        <v>349</v>
      </c>
      <c r="B610" s="86" t="s">
        <v>299</v>
      </c>
      <c r="C610" s="84" t="s">
        <v>65</v>
      </c>
      <c r="D610" s="84" t="s">
        <v>63</v>
      </c>
      <c r="E610" s="86"/>
      <c r="F610" s="81"/>
      <c r="G610" s="166">
        <f t="shared" si="105"/>
        <v>1537.5</v>
      </c>
      <c r="H610" s="166">
        <f t="shared" si="105"/>
        <v>1537.3</v>
      </c>
      <c r="I610" s="166">
        <f t="shared" si="100"/>
        <v>0.20000000000004547</v>
      </c>
      <c r="J610" s="165">
        <f t="shared" si="101"/>
        <v>99.986991869918697</v>
      </c>
    </row>
    <row r="611" spans="1:10" s="11" customFormat="1" ht="22.5">
      <c r="A611" s="85" t="s">
        <v>93</v>
      </c>
      <c r="B611" s="86" t="s">
        <v>299</v>
      </c>
      <c r="C611" s="84" t="s">
        <v>65</v>
      </c>
      <c r="D611" s="84" t="s">
        <v>63</v>
      </c>
      <c r="E611" s="86" t="s">
        <v>94</v>
      </c>
      <c r="F611" s="81"/>
      <c r="G611" s="166">
        <f t="shared" si="105"/>
        <v>1537.5</v>
      </c>
      <c r="H611" s="166">
        <f t="shared" si="105"/>
        <v>1537.3</v>
      </c>
      <c r="I611" s="166">
        <f t="shared" si="100"/>
        <v>0.20000000000004547</v>
      </c>
      <c r="J611" s="165">
        <f t="shared" si="101"/>
        <v>99.986991869918697</v>
      </c>
    </row>
    <row r="612" spans="1:10" s="11" customFormat="1">
      <c r="A612" s="85" t="s">
        <v>97</v>
      </c>
      <c r="B612" s="86" t="s">
        <v>299</v>
      </c>
      <c r="C612" s="84" t="s">
        <v>65</v>
      </c>
      <c r="D612" s="84" t="s">
        <v>63</v>
      </c>
      <c r="E612" s="86" t="s">
        <v>98</v>
      </c>
      <c r="F612" s="81"/>
      <c r="G612" s="166">
        <f t="shared" si="105"/>
        <v>1537.5</v>
      </c>
      <c r="H612" s="166">
        <f t="shared" si="105"/>
        <v>1537.3</v>
      </c>
      <c r="I612" s="166">
        <f t="shared" si="100"/>
        <v>0.20000000000004547</v>
      </c>
      <c r="J612" s="165">
        <f t="shared" si="101"/>
        <v>99.986991869918697</v>
      </c>
    </row>
    <row r="613" spans="1:10" s="11" customFormat="1" ht="22.5">
      <c r="A613" s="82" t="s">
        <v>131</v>
      </c>
      <c r="B613" s="86" t="s">
        <v>299</v>
      </c>
      <c r="C613" s="84" t="s">
        <v>65</v>
      </c>
      <c r="D613" s="84" t="s">
        <v>63</v>
      </c>
      <c r="E613" s="86" t="s">
        <v>98</v>
      </c>
      <c r="F613" s="81">
        <v>725</v>
      </c>
      <c r="G613" s="166">
        <f>2000-462.5</f>
        <v>1537.5</v>
      </c>
      <c r="H613" s="166">
        <v>1537.3</v>
      </c>
      <c r="I613" s="166">
        <f t="shared" si="100"/>
        <v>0.20000000000004547</v>
      </c>
      <c r="J613" s="165">
        <f t="shared" si="101"/>
        <v>99.986991869918697</v>
      </c>
    </row>
    <row r="614" spans="1:10" s="58" customFormat="1" ht="32.25">
      <c r="A614" s="79" t="s">
        <v>391</v>
      </c>
      <c r="B614" s="77" t="s">
        <v>300</v>
      </c>
      <c r="C614" s="80"/>
      <c r="D614" s="80"/>
      <c r="E614" s="88"/>
      <c r="F614" s="76"/>
      <c r="G614" s="163">
        <f t="shared" ref="G614:H618" si="106">G615</f>
        <v>808.8</v>
      </c>
      <c r="H614" s="163">
        <f t="shared" si="106"/>
        <v>778</v>
      </c>
      <c r="I614" s="163">
        <f t="shared" si="100"/>
        <v>30.799999999999955</v>
      </c>
      <c r="J614" s="164">
        <f t="shared" si="101"/>
        <v>96.191889218595449</v>
      </c>
    </row>
    <row r="615" spans="1:10" s="58" customFormat="1" ht="21">
      <c r="A615" s="79" t="s">
        <v>7</v>
      </c>
      <c r="B615" s="77" t="s">
        <v>300</v>
      </c>
      <c r="C615" s="80" t="s">
        <v>65</v>
      </c>
      <c r="D615" s="80" t="s">
        <v>33</v>
      </c>
      <c r="E615" s="88"/>
      <c r="F615" s="76"/>
      <c r="G615" s="163">
        <f t="shared" si="106"/>
        <v>808.8</v>
      </c>
      <c r="H615" s="163">
        <f t="shared" si="106"/>
        <v>778</v>
      </c>
      <c r="I615" s="163">
        <f t="shared" si="100"/>
        <v>30.799999999999955</v>
      </c>
      <c r="J615" s="164">
        <f t="shared" si="101"/>
        <v>96.191889218595449</v>
      </c>
    </row>
    <row r="616" spans="1:10" s="11" customFormat="1" ht="10.5" customHeight="1">
      <c r="A616" s="82" t="s">
        <v>349</v>
      </c>
      <c r="B616" s="83" t="s">
        <v>300</v>
      </c>
      <c r="C616" s="84" t="s">
        <v>65</v>
      </c>
      <c r="D616" s="84" t="s">
        <v>63</v>
      </c>
      <c r="E616" s="86"/>
      <c r="F616" s="81"/>
      <c r="G616" s="166">
        <f t="shared" si="106"/>
        <v>808.8</v>
      </c>
      <c r="H616" s="166">
        <f t="shared" si="106"/>
        <v>778</v>
      </c>
      <c r="I616" s="166">
        <f t="shared" si="100"/>
        <v>30.799999999999955</v>
      </c>
      <c r="J616" s="165">
        <f t="shared" si="101"/>
        <v>96.191889218595449</v>
      </c>
    </row>
    <row r="617" spans="1:10" s="11" customFormat="1" ht="22.5">
      <c r="A617" s="85" t="s">
        <v>93</v>
      </c>
      <c r="B617" s="83" t="s">
        <v>300</v>
      </c>
      <c r="C617" s="84" t="s">
        <v>65</v>
      </c>
      <c r="D617" s="84" t="s">
        <v>63</v>
      </c>
      <c r="E617" s="86" t="s">
        <v>94</v>
      </c>
      <c r="F617" s="81"/>
      <c r="G617" s="166">
        <f t="shared" si="106"/>
        <v>808.8</v>
      </c>
      <c r="H617" s="166">
        <f t="shared" si="106"/>
        <v>778</v>
      </c>
      <c r="I617" s="166">
        <f t="shared" si="100"/>
        <v>30.799999999999955</v>
      </c>
      <c r="J617" s="165">
        <f t="shared" si="101"/>
        <v>96.191889218595449</v>
      </c>
    </row>
    <row r="618" spans="1:10" s="11" customFormat="1" ht="22.5">
      <c r="A618" s="85" t="s">
        <v>97</v>
      </c>
      <c r="B618" s="83" t="s">
        <v>300</v>
      </c>
      <c r="C618" s="84" t="s">
        <v>65</v>
      </c>
      <c r="D618" s="84" t="s">
        <v>63</v>
      </c>
      <c r="E618" s="86" t="s">
        <v>98</v>
      </c>
      <c r="F618" s="81"/>
      <c r="G618" s="166">
        <f t="shared" si="106"/>
        <v>808.8</v>
      </c>
      <c r="H618" s="166">
        <f t="shared" si="106"/>
        <v>778</v>
      </c>
      <c r="I618" s="166">
        <f t="shared" si="100"/>
        <v>30.799999999999955</v>
      </c>
      <c r="J618" s="165">
        <f t="shared" si="101"/>
        <v>96.191889218595449</v>
      </c>
    </row>
    <row r="619" spans="1:10" s="11" customFormat="1" ht="22.5">
      <c r="A619" s="82" t="s">
        <v>131</v>
      </c>
      <c r="B619" s="83" t="s">
        <v>300</v>
      </c>
      <c r="C619" s="84" t="s">
        <v>65</v>
      </c>
      <c r="D619" s="84" t="s">
        <v>63</v>
      </c>
      <c r="E619" s="86" t="s">
        <v>98</v>
      </c>
      <c r="F619" s="81">
        <v>725</v>
      </c>
      <c r="G619" s="166">
        <f>510.9+297.9</f>
        <v>808.8</v>
      </c>
      <c r="H619" s="166">
        <v>778</v>
      </c>
      <c r="I619" s="166">
        <f t="shared" si="100"/>
        <v>30.799999999999955</v>
      </c>
      <c r="J619" s="165">
        <f t="shared" si="101"/>
        <v>96.191889218595449</v>
      </c>
    </row>
    <row r="620" spans="1:10" s="58" customFormat="1" ht="42.75">
      <c r="A620" s="79" t="s">
        <v>392</v>
      </c>
      <c r="B620" s="77" t="s">
        <v>301</v>
      </c>
      <c r="C620" s="80"/>
      <c r="D620" s="80"/>
      <c r="E620" s="88"/>
      <c r="F620" s="76"/>
      <c r="G620" s="163">
        <f t="shared" ref="G620:H624" si="107">G621</f>
        <v>250.8</v>
      </c>
      <c r="H620" s="163">
        <f t="shared" si="107"/>
        <v>250.5</v>
      </c>
      <c r="I620" s="163">
        <f t="shared" si="100"/>
        <v>0.30000000000001137</v>
      </c>
      <c r="J620" s="164">
        <f t="shared" si="101"/>
        <v>99.880382775119614</v>
      </c>
    </row>
    <row r="621" spans="1:10" s="58" customFormat="1" ht="21">
      <c r="A621" s="79" t="s">
        <v>7</v>
      </c>
      <c r="B621" s="77" t="s">
        <v>301</v>
      </c>
      <c r="C621" s="80" t="s">
        <v>65</v>
      </c>
      <c r="D621" s="80" t="s">
        <v>33</v>
      </c>
      <c r="E621" s="88"/>
      <c r="F621" s="76"/>
      <c r="G621" s="163">
        <f t="shared" si="107"/>
        <v>250.8</v>
      </c>
      <c r="H621" s="163">
        <f t="shared" si="107"/>
        <v>250.5</v>
      </c>
      <c r="I621" s="163">
        <f t="shared" si="100"/>
        <v>0.30000000000001137</v>
      </c>
      <c r="J621" s="164">
        <f t="shared" si="101"/>
        <v>99.880382775119614</v>
      </c>
    </row>
    <row r="622" spans="1:10" s="11" customFormat="1" ht="22.5">
      <c r="A622" s="82" t="s">
        <v>349</v>
      </c>
      <c r="B622" s="83" t="s">
        <v>301</v>
      </c>
      <c r="C622" s="84" t="s">
        <v>65</v>
      </c>
      <c r="D622" s="84" t="s">
        <v>63</v>
      </c>
      <c r="E622" s="86"/>
      <c r="F622" s="81"/>
      <c r="G622" s="166">
        <f t="shared" si="107"/>
        <v>250.8</v>
      </c>
      <c r="H622" s="166">
        <f t="shared" si="107"/>
        <v>250.5</v>
      </c>
      <c r="I622" s="166">
        <f t="shared" si="100"/>
        <v>0.30000000000001137</v>
      </c>
      <c r="J622" s="165">
        <f t="shared" si="101"/>
        <v>99.880382775119614</v>
      </c>
    </row>
    <row r="623" spans="1:10" s="11" customFormat="1" ht="22.5">
      <c r="A623" s="85" t="s">
        <v>93</v>
      </c>
      <c r="B623" s="83" t="s">
        <v>301</v>
      </c>
      <c r="C623" s="84" t="s">
        <v>65</v>
      </c>
      <c r="D623" s="84" t="s">
        <v>63</v>
      </c>
      <c r="E623" s="86" t="s">
        <v>94</v>
      </c>
      <c r="F623" s="81"/>
      <c r="G623" s="166">
        <f t="shared" si="107"/>
        <v>250.8</v>
      </c>
      <c r="H623" s="166">
        <f t="shared" si="107"/>
        <v>250.5</v>
      </c>
      <c r="I623" s="166">
        <f t="shared" si="100"/>
        <v>0.30000000000001137</v>
      </c>
      <c r="J623" s="165">
        <f t="shared" si="101"/>
        <v>99.880382775119614</v>
      </c>
    </row>
    <row r="624" spans="1:10" s="11" customFormat="1" ht="22.5">
      <c r="A624" s="85" t="s">
        <v>97</v>
      </c>
      <c r="B624" s="83" t="s">
        <v>301</v>
      </c>
      <c r="C624" s="84" t="s">
        <v>65</v>
      </c>
      <c r="D624" s="84" t="s">
        <v>63</v>
      </c>
      <c r="E624" s="86" t="s">
        <v>98</v>
      </c>
      <c r="F624" s="81"/>
      <c r="G624" s="166">
        <f t="shared" si="107"/>
        <v>250.8</v>
      </c>
      <c r="H624" s="166">
        <f t="shared" si="107"/>
        <v>250.5</v>
      </c>
      <c r="I624" s="166">
        <f t="shared" si="100"/>
        <v>0.30000000000001137</v>
      </c>
      <c r="J624" s="165">
        <f t="shared" si="101"/>
        <v>99.880382775119614</v>
      </c>
    </row>
    <row r="625" spans="1:10" s="11" customFormat="1" ht="22.5">
      <c r="A625" s="82" t="s">
        <v>131</v>
      </c>
      <c r="B625" s="83" t="s">
        <v>301</v>
      </c>
      <c r="C625" s="84" t="s">
        <v>65</v>
      </c>
      <c r="D625" s="84" t="s">
        <v>63</v>
      </c>
      <c r="E625" s="86" t="s">
        <v>98</v>
      </c>
      <c r="F625" s="81">
        <v>725</v>
      </c>
      <c r="G625" s="166">
        <f>336-85.2</f>
        <v>250.8</v>
      </c>
      <c r="H625" s="166">
        <v>250.5</v>
      </c>
      <c r="I625" s="166">
        <f t="shared" si="100"/>
        <v>0.30000000000001137</v>
      </c>
      <c r="J625" s="165">
        <f t="shared" si="101"/>
        <v>99.880382775119614</v>
      </c>
    </row>
    <row r="626" spans="1:10" s="11" customFormat="1" ht="21.75">
      <c r="A626" s="79" t="s">
        <v>205</v>
      </c>
      <c r="B626" s="77" t="s">
        <v>237</v>
      </c>
      <c r="C626" s="84"/>
      <c r="D626" s="84"/>
      <c r="E626" s="86"/>
      <c r="F626" s="81"/>
      <c r="G626" s="163">
        <f t="shared" ref="G626:H630" si="108">G627</f>
        <v>93.4</v>
      </c>
      <c r="H626" s="163">
        <f t="shared" si="108"/>
        <v>93.4</v>
      </c>
      <c r="I626" s="163">
        <f t="shared" si="100"/>
        <v>0</v>
      </c>
      <c r="J626" s="164">
        <f t="shared" si="101"/>
        <v>100</v>
      </c>
    </row>
    <row r="627" spans="1:10" s="11" customFormat="1" ht="21">
      <c r="A627" s="79" t="s">
        <v>7</v>
      </c>
      <c r="B627" s="77" t="s">
        <v>237</v>
      </c>
      <c r="C627" s="80" t="s">
        <v>65</v>
      </c>
      <c r="D627" s="80" t="s">
        <v>33</v>
      </c>
      <c r="E627" s="86"/>
      <c r="F627" s="81"/>
      <c r="G627" s="166">
        <f t="shared" si="108"/>
        <v>93.4</v>
      </c>
      <c r="H627" s="166">
        <f t="shared" si="108"/>
        <v>93.4</v>
      </c>
      <c r="I627" s="166">
        <f t="shared" si="100"/>
        <v>0</v>
      </c>
      <c r="J627" s="165">
        <f t="shared" si="101"/>
        <v>100</v>
      </c>
    </row>
    <row r="628" spans="1:10" s="11" customFormat="1" ht="22.5">
      <c r="A628" s="82" t="s">
        <v>349</v>
      </c>
      <c r="B628" s="83" t="s">
        <v>237</v>
      </c>
      <c r="C628" s="84" t="s">
        <v>65</v>
      </c>
      <c r="D628" s="84" t="s">
        <v>63</v>
      </c>
      <c r="E628" s="86"/>
      <c r="F628" s="81"/>
      <c r="G628" s="166">
        <f t="shared" si="108"/>
        <v>93.4</v>
      </c>
      <c r="H628" s="166">
        <f t="shared" si="108"/>
        <v>93.4</v>
      </c>
      <c r="I628" s="166">
        <f t="shared" si="100"/>
        <v>0</v>
      </c>
      <c r="J628" s="165">
        <f t="shared" si="101"/>
        <v>100</v>
      </c>
    </row>
    <row r="629" spans="1:10" s="11" customFormat="1" ht="22.5">
      <c r="A629" s="85" t="s">
        <v>93</v>
      </c>
      <c r="B629" s="83" t="s">
        <v>237</v>
      </c>
      <c r="C629" s="84" t="s">
        <v>65</v>
      </c>
      <c r="D629" s="84" t="s">
        <v>63</v>
      </c>
      <c r="E629" s="86" t="s">
        <v>94</v>
      </c>
      <c r="F629" s="81"/>
      <c r="G629" s="166">
        <f t="shared" si="108"/>
        <v>93.4</v>
      </c>
      <c r="H629" s="166">
        <f t="shared" si="108"/>
        <v>93.4</v>
      </c>
      <c r="I629" s="166">
        <f t="shared" si="100"/>
        <v>0</v>
      </c>
      <c r="J629" s="165">
        <f t="shared" si="101"/>
        <v>100</v>
      </c>
    </row>
    <row r="630" spans="1:10" s="11" customFormat="1" ht="22.5">
      <c r="A630" s="85" t="s">
        <v>97</v>
      </c>
      <c r="B630" s="83" t="s">
        <v>237</v>
      </c>
      <c r="C630" s="84" t="s">
        <v>65</v>
      </c>
      <c r="D630" s="84" t="s">
        <v>63</v>
      </c>
      <c r="E630" s="86" t="s">
        <v>98</v>
      </c>
      <c r="F630" s="81"/>
      <c r="G630" s="166">
        <f t="shared" si="108"/>
        <v>93.4</v>
      </c>
      <c r="H630" s="166">
        <f t="shared" si="108"/>
        <v>93.4</v>
      </c>
      <c r="I630" s="166">
        <f t="shared" si="100"/>
        <v>0</v>
      </c>
      <c r="J630" s="165">
        <f t="shared" si="101"/>
        <v>100</v>
      </c>
    </row>
    <row r="631" spans="1:10" s="11" customFormat="1" ht="22.5">
      <c r="A631" s="82" t="s">
        <v>131</v>
      </c>
      <c r="B631" s="83" t="s">
        <v>237</v>
      </c>
      <c r="C631" s="84" t="s">
        <v>65</v>
      </c>
      <c r="D631" s="84" t="s">
        <v>63</v>
      </c>
      <c r="E631" s="86" t="s">
        <v>98</v>
      </c>
      <c r="F631" s="81">
        <v>725</v>
      </c>
      <c r="G631" s="166">
        <v>93.4</v>
      </c>
      <c r="H631" s="166">
        <v>93.4</v>
      </c>
      <c r="I631" s="166">
        <f t="shared" si="100"/>
        <v>0</v>
      </c>
      <c r="J631" s="165">
        <f t="shared" si="101"/>
        <v>100</v>
      </c>
    </row>
    <row r="632" spans="1:10" s="58" customFormat="1" ht="32.25">
      <c r="A632" s="89" t="s">
        <v>678</v>
      </c>
      <c r="B632" s="77" t="s">
        <v>200</v>
      </c>
      <c r="C632" s="80"/>
      <c r="D632" s="80"/>
      <c r="E632" s="88"/>
      <c r="F632" s="76"/>
      <c r="G632" s="163">
        <f t="shared" ref="G632:H637" si="109">G633</f>
        <v>800</v>
      </c>
      <c r="H632" s="163">
        <f t="shared" si="109"/>
        <v>700</v>
      </c>
      <c r="I632" s="163">
        <f t="shared" si="100"/>
        <v>100</v>
      </c>
      <c r="J632" s="164">
        <f t="shared" si="101"/>
        <v>87.5</v>
      </c>
    </row>
    <row r="633" spans="1:10" s="11" customFormat="1" ht="21">
      <c r="A633" s="90" t="s">
        <v>600</v>
      </c>
      <c r="B633" s="77" t="s">
        <v>259</v>
      </c>
      <c r="C633" s="84"/>
      <c r="D633" s="84"/>
      <c r="E633" s="86"/>
      <c r="F633" s="81"/>
      <c r="G633" s="163">
        <f>G634</f>
        <v>800</v>
      </c>
      <c r="H633" s="163">
        <f>H634</f>
        <v>700</v>
      </c>
      <c r="I633" s="163">
        <f t="shared" si="100"/>
        <v>100</v>
      </c>
      <c r="J633" s="164">
        <f t="shared" si="101"/>
        <v>87.5</v>
      </c>
    </row>
    <row r="634" spans="1:10" s="58" customFormat="1" ht="36" customHeight="1">
      <c r="A634" s="114" t="s">
        <v>557</v>
      </c>
      <c r="B634" s="77" t="s">
        <v>260</v>
      </c>
      <c r="C634" s="80"/>
      <c r="D634" s="80"/>
      <c r="E634" s="88"/>
      <c r="F634" s="76"/>
      <c r="G634" s="163">
        <f t="shared" si="109"/>
        <v>800</v>
      </c>
      <c r="H634" s="163">
        <f t="shared" si="109"/>
        <v>700</v>
      </c>
      <c r="I634" s="163">
        <f t="shared" si="100"/>
        <v>100</v>
      </c>
      <c r="J634" s="164">
        <f t="shared" si="101"/>
        <v>87.5</v>
      </c>
    </row>
    <row r="635" spans="1:10" s="58" customFormat="1" ht="21">
      <c r="A635" s="90" t="s">
        <v>126</v>
      </c>
      <c r="B635" s="77" t="s">
        <v>260</v>
      </c>
      <c r="C635" s="80" t="s">
        <v>68</v>
      </c>
      <c r="D635" s="80" t="s">
        <v>33</v>
      </c>
      <c r="E635" s="88"/>
      <c r="F635" s="76"/>
      <c r="G635" s="163">
        <f t="shared" si="109"/>
        <v>800</v>
      </c>
      <c r="H635" s="163">
        <f t="shared" si="109"/>
        <v>700</v>
      </c>
      <c r="I635" s="163">
        <f t="shared" si="100"/>
        <v>100</v>
      </c>
      <c r="J635" s="164">
        <f t="shared" si="101"/>
        <v>87.5</v>
      </c>
    </row>
    <row r="636" spans="1:10" s="11" customFormat="1">
      <c r="A636" s="87" t="s">
        <v>170</v>
      </c>
      <c r="B636" s="83" t="s">
        <v>260</v>
      </c>
      <c r="C636" s="84" t="s">
        <v>68</v>
      </c>
      <c r="D636" s="84" t="s">
        <v>63</v>
      </c>
      <c r="E636" s="86"/>
      <c r="F636" s="81"/>
      <c r="G636" s="166">
        <f t="shared" si="109"/>
        <v>800</v>
      </c>
      <c r="H636" s="166">
        <f t="shared" si="109"/>
        <v>700</v>
      </c>
      <c r="I636" s="166">
        <f t="shared" si="100"/>
        <v>100</v>
      </c>
      <c r="J636" s="165">
        <f t="shared" si="101"/>
        <v>87.5</v>
      </c>
    </row>
    <row r="637" spans="1:10" s="11" customFormat="1">
      <c r="A637" s="85" t="s">
        <v>108</v>
      </c>
      <c r="B637" s="83" t="s">
        <v>260</v>
      </c>
      <c r="C637" s="84" t="s">
        <v>68</v>
      </c>
      <c r="D637" s="84" t="s">
        <v>63</v>
      </c>
      <c r="E637" s="86" t="s">
        <v>109</v>
      </c>
      <c r="F637" s="81"/>
      <c r="G637" s="166">
        <f t="shared" si="109"/>
        <v>800</v>
      </c>
      <c r="H637" s="166">
        <f t="shared" si="109"/>
        <v>700</v>
      </c>
      <c r="I637" s="166">
        <f t="shared" si="100"/>
        <v>100</v>
      </c>
      <c r="J637" s="165">
        <f t="shared" si="101"/>
        <v>87.5</v>
      </c>
    </row>
    <row r="638" spans="1:10" s="11" customFormat="1" ht="33.75">
      <c r="A638" s="85" t="s">
        <v>133</v>
      </c>
      <c r="B638" s="83" t="s">
        <v>260</v>
      </c>
      <c r="C638" s="84" t="s">
        <v>68</v>
      </c>
      <c r="D638" s="84" t="s">
        <v>63</v>
      </c>
      <c r="E638" s="86" t="s">
        <v>110</v>
      </c>
      <c r="F638" s="81"/>
      <c r="G638" s="166">
        <f>G639</f>
        <v>800</v>
      </c>
      <c r="H638" s="166">
        <f>H639</f>
        <v>700</v>
      </c>
      <c r="I638" s="166">
        <f t="shared" si="100"/>
        <v>100</v>
      </c>
      <c r="J638" s="165">
        <f t="shared" si="101"/>
        <v>87.5</v>
      </c>
    </row>
    <row r="639" spans="1:10" s="11" customFormat="1" ht="22.5">
      <c r="A639" s="85" t="s">
        <v>318</v>
      </c>
      <c r="B639" s="83" t="s">
        <v>260</v>
      </c>
      <c r="C639" s="84" t="s">
        <v>68</v>
      </c>
      <c r="D639" s="84" t="s">
        <v>63</v>
      </c>
      <c r="E639" s="86" t="s">
        <v>110</v>
      </c>
      <c r="F639" s="81">
        <v>727</v>
      </c>
      <c r="G639" s="166">
        <f>1700-900</f>
        <v>800</v>
      </c>
      <c r="H639" s="166">
        <v>700</v>
      </c>
      <c r="I639" s="166">
        <f t="shared" si="100"/>
        <v>100</v>
      </c>
      <c r="J639" s="165">
        <f t="shared" si="101"/>
        <v>87.5</v>
      </c>
    </row>
    <row r="640" spans="1:10" s="11" customFormat="1" ht="33.6" customHeight="1">
      <c r="A640" s="289" t="s">
        <v>679</v>
      </c>
      <c r="B640" s="77" t="s">
        <v>324</v>
      </c>
      <c r="C640" s="88"/>
      <c r="D640" s="80"/>
      <c r="E640" s="80"/>
      <c r="F640" s="76"/>
      <c r="G640" s="163">
        <f>G641</f>
        <v>1825.2</v>
      </c>
      <c r="H640" s="163">
        <f>H641</f>
        <v>1822.1</v>
      </c>
      <c r="I640" s="163">
        <f t="shared" si="100"/>
        <v>3.1000000000001364</v>
      </c>
      <c r="J640" s="164">
        <f t="shared" si="101"/>
        <v>99.830155599386359</v>
      </c>
    </row>
    <row r="641" spans="1:10" s="58" customFormat="1" ht="21.75">
      <c r="A641" s="79" t="s">
        <v>198</v>
      </c>
      <c r="B641" s="77" t="s">
        <v>325</v>
      </c>
      <c r="C641" s="88"/>
      <c r="D641" s="80"/>
      <c r="E641" s="80"/>
      <c r="F641" s="76"/>
      <c r="G641" s="163">
        <f>G648+G642</f>
        <v>1825.2</v>
      </c>
      <c r="H641" s="163">
        <f>H648+H642</f>
        <v>1822.1</v>
      </c>
      <c r="I641" s="163">
        <f t="shared" si="100"/>
        <v>3.1000000000001364</v>
      </c>
      <c r="J641" s="164">
        <f t="shared" si="101"/>
        <v>99.830155599386359</v>
      </c>
    </row>
    <row r="642" spans="1:10" s="58" customFormat="1" ht="21">
      <c r="A642" s="114" t="s">
        <v>661</v>
      </c>
      <c r="B642" s="77" t="s">
        <v>662</v>
      </c>
      <c r="C642" s="88"/>
      <c r="D642" s="80"/>
      <c r="E642" s="80"/>
      <c r="F642" s="76"/>
      <c r="G642" s="163">
        <f t="shared" ref="G642:H646" si="110">G643</f>
        <v>1200</v>
      </c>
      <c r="H642" s="163">
        <f t="shared" si="110"/>
        <v>1200</v>
      </c>
      <c r="I642" s="163">
        <f t="shared" si="100"/>
        <v>0</v>
      </c>
      <c r="J642" s="164">
        <f t="shared" si="101"/>
        <v>100</v>
      </c>
    </row>
    <row r="643" spans="1:10" s="58" customFormat="1" ht="21">
      <c r="A643" s="89" t="s">
        <v>5</v>
      </c>
      <c r="B643" s="77" t="s">
        <v>662</v>
      </c>
      <c r="C643" s="88" t="s">
        <v>64</v>
      </c>
      <c r="D643" s="80" t="s">
        <v>33</v>
      </c>
      <c r="E643" s="80"/>
      <c r="F643" s="76"/>
      <c r="G643" s="163">
        <f t="shared" si="110"/>
        <v>1200</v>
      </c>
      <c r="H643" s="163">
        <f t="shared" si="110"/>
        <v>1200</v>
      </c>
      <c r="I643" s="163">
        <f t="shared" si="100"/>
        <v>0</v>
      </c>
      <c r="J643" s="164">
        <f t="shared" si="101"/>
        <v>100</v>
      </c>
    </row>
    <row r="644" spans="1:10" s="58" customFormat="1" ht="22.5">
      <c r="A644" s="85" t="s">
        <v>78</v>
      </c>
      <c r="B644" s="83" t="s">
        <v>662</v>
      </c>
      <c r="C644" s="86" t="s">
        <v>64</v>
      </c>
      <c r="D644" s="84" t="s">
        <v>71</v>
      </c>
      <c r="E644" s="84"/>
      <c r="F644" s="81"/>
      <c r="G644" s="166">
        <f t="shared" si="110"/>
        <v>1200</v>
      </c>
      <c r="H644" s="166">
        <f t="shared" si="110"/>
        <v>1200</v>
      </c>
      <c r="I644" s="166">
        <f t="shared" si="100"/>
        <v>0</v>
      </c>
      <c r="J644" s="165">
        <f t="shared" si="101"/>
        <v>100</v>
      </c>
    </row>
    <row r="645" spans="1:10" s="58" customFormat="1" ht="22.5">
      <c r="A645" s="85" t="s">
        <v>331</v>
      </c>
      <c r="B645" s="83" t="s">
        <v>662</v>
      </c>
      <c r="C645" s="86" t="s">
        <v>64</v>
      </c>
      <c r="D645" s="84" t="s">
        <v>71</v>
      </c>
      <c r="E645" s="84" t="s">
        <v>92</v>
      </c>
      <c r="F645" s="81"/>
      <c r="G645" s="166">
        <f t="shared" si="110"/>
        <v>1200</v>
      </c>
      <c r="H645" s="166">
        <f t="shared" si="110"/>
        <v>1200</v>
      </c>
      <c r="I645" s="166">
        <f t="shared" si="100"/>
        <v>0</v>
      </c>
      <c r="J645" s="165">
        <f t="shared" si="101"/>
        <v>100</v>
      </c>
    </row>
    <row r="646" spans="1:10" s="58" customFormat="1" ht="22.5">
      <c r="A646" s="85" t="s">
        <v>558</v>
      </c>
      <c r="B646" s="83" t="s">
        <v>662</v>
      </c>
      <c r="C646" s="86" t="s">
        <v>64</v>
      </c>
      <c r="D646" s="84" t="s">
        <v>71</v>
      </c>
      <c r="E646" s="84" t="s">
        <v>89</v>
      </c>
      <c r="F646" s="81"/>
      <c r="G646" s="166">
        <f t="shared" si="110"/>
        <v>1200</v>
      </c>
      <c r="H646" s="166">
        <f t="shared" si="110"/>
        <v>1200</v>
      </c>
      <c r="I646" s="166">
        <f t="shared" si="100"/>
        <v>0</v>
      </c>
      <c r="J646" s="165">
        <f t="shared" si="101"/>
        <v>100</v>
      </c>
    </row>
    <row r="647" spans="1:10" s="58" customFormat="1" ht="22.5">
      <c r="A647" s="85" t="s">
        <v>318</v>
      </c>
      <c r="B647" s="83" t="s">
        <v>662</v>
      </c>
      <c r="C647" s="86" t="s">
        <v>64</v>
      </c>
      <c r="D647" s="84" t="s">
        <v>71</v>
      </c>
      <c r="E647" s="84" t="s">
        <v>89</v>
      </c>
      <c r="F647" s="81">
        <v>727</v>
      </c>
      <c r="G647" s="166">
        <v>1200</v>
      </c>
      <c r="H647" s="166">
        <v>1200</v>
      </c>
      <c r="I647" s="166">
        <f t="shared" si="100"/>
        <v>0</v>
      </c>
      <c r="J647" s="165">
        <f t="shared" si="101"/>
        <v>100</v>
      </c>
    </row>
    <row r="648" spans="1:10" s="58" customFormat="1" ht="53.25">
      <c r="A648" s="115" t="s">
        <v>621</v>
      </c>
      <c r="B648" s="77" t="s">
        <v>622</v>
      </c>
      <c r="C648" s="88"/>
      <c r="D648" s="80"/>
      <c r="E648" s="80"/>
      <c r="F648" s="76"/>
      <c r="G648" s="163">
        <f t="shared" ref="G648:H652" si="111">G649</f>
        <v>625.20000000000005</v>
      </c>
      <c r="H648" s="163">
        <f t="shared" si="111"/>
        <v>622.1</v>
      </c>
      <c r="I648" s="163">
        <f t="shared" si="100"/>
        <v>3.1000000000000227</v>
      </c>
      <c r="J648" s="164">
        <f t="shared" si="101"/>
        <v>99.504158669225845</v>
      </c>
    </row>
    <row r="649" spans="1:10" s="58" customFormat="1" ht="21">
      <c r="A649" s="89" t="s">
        <v>5</v>
      </c>
      <c r="B649" s="77" t="s">
        <v>622</v>
      </c>
      <c r="C649" s="88" t="s">
        <v>64</v>
      </c>
      <c r="D649" s="80" t="s">
        <v>33</v>
      </c>
      <c r="E649" s="80"/>
      <c r="F649" s="76"/>
      <c r="G649" s="163">
        <f t="shared" si="111"/>
        <v>625.20000000000005</v>
      </c>
      <c r="H649" s="163">
        <f t="shared" si="111"/>
        <v>622.1</v>
      </c>
      <c r="I649" s="163">
        <f t="shared" si="100"/>
        <v>3.1000000000000227</v>
      </c>
      <c r="J649" s="164">
        <f t="shared" si="101"/>
        <v>99.504158669225845</v>
      </c>
    </row>
    <row r="650" spans="1:10" s="11" customFormat="1" ht="22.5">
      <c r="A650" s="85" t="s">
        <v>78</v>
      </c>
      <c r="B650" s="83" t="s">
        <v>622</v>
      </c>
      <c r="C650" s="86" t="s">
        <v>64</v>
      </c>
      <c r="D650" s="84" t="s">
        <v>71</v>
      </c>
      <c r="E650" s="84"/>
      <c r="F650" s="81"/>
      <c r="G650" s="166">
        <f t="shared" si="111"/>
        <v>625.20000000000005</v>
      </c>
      <c r="H650" s="166">
        <f t="shared" si="111"/>
        <v>622.1</v>
      </c>
      <c r="I650" s="166">
        <f t="shared" ref="I650:I713" si="112">G650-H650</f>
        <v>3.1000000000000227</v>
      </c>
      <c r="J650" s="165">
        <f t="shared" ref="J650:J713" si="113">H650/G650*100</f>
        <v>99.504158669225845</v>
      </c>
    </row>
    <row r="651" spans="1:10" s="11" customFormat="1" ht="22.5">
      <c r="A651" s="85" t="s">
        <v>331</v>
      </c>
      <c r="B651" s="83" t="s">
        <v>622</v>
      </c>
      <c r="C651" s="86" t="s">
        <v>64</v>
      </c>
      <c r="D651" s="84" t="s">
        <v>71</v>
      </c>
      <c r="E651" s="86" t="s">
        <v>92</v>
      </c>
      <c r="F651" s="81"/>
      <c r="G651" s="166">
        <f t="shared" si="111"/>
        <v>625.20000000000005</v>
      </c>
      <c r="H651" s="166">
        <f t="shared" si="111"/>
        <v>622.1</v>
      </c>
      <c r="I651" s="166">
        <f t="shared" si="112"/>
        <v>3.1000000000000227</v>
      </c>
      <c r="J651" s="165">
        <f t="shared" si="113"/>
        <v>99.504158669225845</v>
      </c>
    </row>
    <row r="652" spans="1:10" s="11" customFormat="1" ht="22.5">
      <c r="A652" s="85" t="s">
        <v>558</v>
      </c>
      <c r="B652" s="83" t="s">
        <v>622</v>
      </c>
      <c r="C652" s="86" t="s">
        <v>64</v>
      </c>
      <c r="D652" s="84" t="s">
        <v>71</v>
      </c>
      <c r="E652" s="86" t="s">
        <v>89</v>
      </c>
      <c r="F652" s="81"/>
      <c r="G652" s="166">
        <f t="shared" si="111"/>
        <v>625.20000000000005</v>
      </c>
      <c r="H652" s="166">
        <f t="shared" si="111"/>
        <v>622.1</v>
      </c>
      <c r="I652" s="166">
        <f t="shared" si="112"/>
        <v>3.1000000000000227</v>
      </c>
      <c r="J652" s="165">
        <f t="shared" si="113"/>
        <v>99.504158669225845</v>
      </c>
    </row>
    <row r="653" spans="1:10" s="11" customFormat="1" ht="22.5">
      <c r="A653" s="85" t="s">
        <v>318</v>
      </c>
      <c r="B653" s="83" t="s">
        <v>622</v>
      </c>
      <c r="C653" s="86" t="s">
        <v>64</v>
      </c>
      <c r="D653" s="84" t="s">
        <v>71</v>
      </c>
      <c r="E653" s="86" t="s">
        <v>89</v>
      </c>
      <c r="F653" s="81">
        <v>727</v>
      </c>
      <c r="G653" s="166">
        <v>625.20000000000005</v>
      </c>
      <c r="H653" s="166">
        <v>622.1</v>
      </c>
      <c r="I653" s="166">
        <f t="shared" si="112"/>
        <v>3.1000000000000227</v>
      </c>
      <c r="J653" s="165">
        <f t="shared" si="113"/>
        <v>99.504158669225845</v>
      </c>
    </row>
    <row r="654" spans="1:10" s="11" customFormat="1" ht="53.25">
      <c r="A654" s="89" t="s">
        <v>680</v>
      </c>
      <c r="B654" s="88" t="s">
        <v>401</v>
      </c>
      <c r="C654" s="86"/>
      <c r="D654" s="86"/>
      <c r="E654" s="91"/>
      <c r="F654" s="91"/>
      <c r="G654" s="163">
        <f>G668+G675+G655</f>
        <v>124.9</v>
      </c>
      <c r="H654" s="163">
        <f>H668+H675+H655</f>
        <v>124.9</v>
      </c>
      <c r="I654" s="163">
        <f t="shared" si="112"/>
        <v>0</v>
      </c>
      <c r="J654" s="164">
        <f t="shared" si="113"/>
        <v>100</v>
      </c>
    </row>
    <row r="655" spans="1:10" s="58" customFormat="1" ht="32.25">
      <c r="A655" s="79" t="s">
        <v>288</v>
      </c>
      <c r="B655" s="88" t="s">
        <v>408</v>
      </c>
      <c r="C655" s="88"/>
      <c r="D655" s="88"/>
      <c r="E655" s="88"/>
      <c r="F655" s="88"/>
      <c r="G655" s="163">
        <f>G662+G656</f>
        <v>64.900000000000006</v>
      </c>
      <c r="H655" s="163">
        <f>H662+H656</f>
        <v>64.900000000000006</v>
      </c>
      <c r="I655" s="163">
        <f t="shared" si="112"/>
        <v>0</v>
      </c>
      <c r="J655" s="164">
        <f t="shared" si="113"/>
        <v>100</v>
      </c>
    </row>
    <row r="656" spans="1:10" s="58" customFormat="1" ht="32.25">
      <c r="A656" s="89" t="s">
        <v>643</v>
      </c>
      <c r="B656" s="86" t="s">
        <v>644</v>
      </c>
      <c r="C656" s="88"/>
      <c r="D656" s="88"/>
      <c r="E656" s="88"/>
      <c r="F656" s="88"/>
      <c r="G656" s="163">
        <f t="shared" ref="G656:H660" si="114">G657</f>
        <v>34.9</v>
      </c>
      <c r="H656" s="163">
        <f t="shared" si="114"/>
        <v>34.9</v>
      </c>
      <c r="I656" s="163">
        <f t="shared" si="112"/>
        <v>0</v>
      </c>
      <c r="J656" s="164">
        <f t="shared" si="113"/>
        <v>100</v>
      </c>
    </row>
    <row r="657" spans="1:10" s="58" customFormat="1">
      <c r="A657" s="89" t="s">
        <v>58</v>
      </c>
      <c r="B657" s="86" t="s">
        <v>644</v>
      </c>
      <c r="C657" s="88" t="s">
        <v>67</v>
      </c>
      <c r="D657" s="88" t="s">
        <v>33</v>
      </c>
      <c r="E657" s="88"/>
      <c r="F657" s="88"/>
      <c r="G657" s="163">
        <f t="shared" si="114"/>
        <v>34.9</v>
      </c>
      <c r="H657" s="163">
        <f t="shared" si="114"/>
        <v>34.9</v>
      </c>
      <c r="I657" s="163">
        <f t="shared" si="112"/>
        <v>0</v>
      </c>
      <c r="J657" s="164">
        <f t="shared" si="113"/>
        <v>100</v>
      </c>
    </row>
    <row r="658" spans="1:10" s="58" customFormat="1">
      <c r="A658" s="85" t="s">
        <v>127</v>
      </c>
      <c r="B658" s="86" t="s">
        <v>644</v>
      </c>
      <c r="C658" s="86" t="s">
        <v>67</v>
      </c>
      <c r="D658" s="86" t="s">
        <v>72</v>
      </c>
      <c r="E658" s="86"/>
      <c r="F658" s="86"/>
      <c r="G658" s="166">
        <f t="shared" si="114"/>
        <v>34.9</v>
      </c>
      <c r="H658" s="166">
        <f t="shared" si="114"/>
        <v>34.9</v>
      </c>
      <c r="I658" s="166">
        <f t="shared" si="112"/>
        <v>0</v>
      </c>
      <c r="J658" s="165">
        <f t="shared" si="113"/>
        <v>100</v>
      </c>
    </row>
    <row r="659" spans="1:10" s="58" customFormat="1" ht="22.5">
      <c r="A659" s="85" t="s">
        <v>93</v>
      </c>
      <c r="B659" s="86" t="s">
        <v>644</v>
      </c>
      <c r="C659" s="86" t="s">
        <v>67</v>
      </c>
      <c r="D659" s="86" t="s">
        <v>72</v>
      </c>
      <c r="E659" s="86" t="s">
        <v>94</v>
      </c>
      <c r="F659" s="86"/>
      <c r="G659" s="166">
        <f t="shared" si="114"/>
        <v>34.9</v>
      </c>
      <c r="H659" s="166">
        <f t="shared" si="114"/>
        <v>34.9</v>
      </c>
      <c r="I659" s="166">
        <f t="shared" si="112"/>
        <v>0</v>
      </c>
      <c r="J659" s="165">
        <f t="shared" si="113"/>
        <v>100</v>
      </c>
    </row>
    <row r="660" spans="1:10" s="58" customFormat="1" ht="45">
      <c r="A660" s="85" t="s">
        <v>656</v>
      </c>
      <c r="B660" s="86" t="s">
        <v>644</v>
      </c>
      <c r="C660" s="86" t="s">
        <v>67</v>
      </c>
      <c r="D660" s="86" t="s">
        <v>72</v>
      </c>
      <c r="E660" s="86" t="s">
        <v>289</v>
      </c>
      <c r="F660" s="86"/>
      <c r="G660" s="166">
        <f t="shared" si="114"/>
        <v>34.9</v>
      </c>
      <c r="H660" s="166">
        <f t="shared" si="114"/>
        <v>34.9</v>
      </c>
      <c r="I660" s="166">
        <f t="shared" si="112"/>
        <v>0</v>
      </c>
      <c r="J660" s="165">
        <f t="shared" si="113"/>
        <v>100</v>
      </c>
    </row>
    <row r="661" spans="1:10" s="58" customFormat="1">
      <c r="A661" s="85" t="s">
        <v>128</v>
      </c>
      <c r="B661" s="86" t="s">
        <v>644</v>
      </c>
      <c r="C661" s="86" t="s">
        <v>67</v>
      </c>
      <c r="D661" s="86" t="s">
        <v>72</v>
      </c>
      <c r="E661" s="86" t="s">
        <v>289</v>
      </c>
      <c r="F661" s="86" t="s">
        <v>268</v>
      </c>
      <c r="G661" s="166">
        <v>34.9</v>
      </c>
      <c r="H661" s="166">
        <v>34.9</v>
      </c>
      <c r="I661" s="166">
        <f t="shared" si="112"/>
        <v>0</v>
      </c>
      <c r="J661" s="165">
        <f t="shared" si="113"/>
        <v>100</v>
      </c>
    </row>
    <row r="662" spans="1:10" s="58" customFormat="1" ht="21.75">
      <c r="A662" s="89" t="s">
        <v>407</v>
      </c>
      <c r="B662" s="88" t="s">
        <v>409</v>
      </c>
      <c r="C662" s="88"/>
      <c r="D662" s="88"/>
      <c r="E662" s="88"/>
      <c r="F662" s="88"/>
      <c r="G662" s="163">
        <f t="shared" ref="G662:H666" si="115">G663</f>
        <v>30</v>
      </c>
      <c r="H662" s="163">
        <f t="shared" si="115"/>
        <v>30</v>
      </c>
      <c r="I662" s="163">
        <f t="shared" si="112"/>
        <v>0</v>
      </c>
      <c r="J662" s="164">
        <f t="shared" si="113"/>
        <v>100</v>
      </c>
    </row>
    <row r="663" spans="1:10" s="58" customFormat="1">
      <c r="A663" s="89" t="s">
        <v>58</v>
      </c>
      <c r="B663" s="88" t="s">
        <v>409</v>
      </c>
      <c r="C663" s="88" t="s">
        <v>67</v>
      </c>
      <c r="D663" s="88" t="s">
        <v>33</v>
      </c>
      <c r="E663" s="88"/>
      <c r="F663" s="88"/>
      <c r="G663" s="163">
        <f t="shared" si="115"/>
        <v>30</v>
      </c>
      <c r="H663" s="163">
        <f t="shared" si="115"/>
        <v>30</v>
      </c>
      <c r="I663" s="163">
        <f t="shared" si="112"/>
        <v>0</v>
      </c>
      <c r="J663" s="164">
        <f t="shared" si="113"/>
        <v>100</v>
      </c>
    </row>
    <row r="664" spans="1:10" s="11" customFormat="1">
      <c r="A664" s="85" t="s">
        <v>127</v>
      </c>
      <c r="B664" s="86" t="s">
        <v>409</v>
      </c>
      <c r="C664" s="86" t="s">
        <v>67</v>
      </c>
      <c r="D664" s="86" t="s">
        <v>72</v>
      </c>
      <c r="E664" s="86"/>
      <c r="F664" s="86"/>
      <c r="G664" s="166">
        <f t="shared" si="115"/>
        <v>30</v>
      </c>
      <c r="H664" s="166">
        <f t="shared" si="115"/>
        <v>30</v>
      </c>
      <c r="I664" s="166">
        <f t="shared" si="112"/>
        <v>0</v>
      </c>
      <c r="J664" s="165">
        <f t="shared" si="113"/>
        <v>100</v>
      </c>
    </row>
    <row r="665" spans="1:10" s="11" customFormat="1" ht="22.5">
      <c r="A665" s="85" t="s">
        <v>93</v>
      </c>
      <c r="B665" s="86" t="s">
        <v>409</v>
      </c>
      <c r="C665" s="86" t="s">
        <v>67</v>
      </c>
      <c r="D665" s="86" t="s">
        <v>72</v>
      </c>
      <c r="E665" s="86" t="s">
        <v>94</v>
      </c>
      <c r="F665" s="86"/>
      <c r="G665" s="166">
        <f t="shared" si="115"/>
        <v>30</v>
      </c>
      <c r="H665" s="166">
        <f t="shared" si="115"/>
        <v>30</v>
      </c>
      <c r="I665" s="166">
        <f t="shared" si="112"/>
        <v>0</v>
      </c>
      <c r="J665" s="165">
        <f t="shared" si="113"/>
        <v>100</v>
      </c>
    </row>
    <row r="666" spans="1:10" s="11" customFormat="1" ht="45">
      <c r="A666" s="85" t="s">
        <v>656</v>
      </c>
      <c r="B666" s="86" t="s">
        <v>409</v>
      </c>
      <c r="C666" s="86" t="s">
        <v>67</v>
      </c>
      <c r="D666" s="86" t="s">
        <v>72</v>
      </c>
      <c r="E666" s="86" t="s">
        <v>289</v>
      </c>
      <c r="F666" s="86"/>
      <c r="G666" s="166">
        <f t="shared" si="115"/>
        <v>30</v>
      </c>
      <c r="H666" s="166">
        <f t="shared" si="115"/>
        <v>30</v>
      </c>
      <c r="I666" s="166">
        <f t="shared" si="112"/>
        <v>0</v>
      </c>
      <c r="J666" s="165">
        <f t="shared" si="113"/>
        <v>100</v>
      </c>
    </row>
    <row r="667" spans="1:10" s="11" customFormat="1">
      <c r="A667" s="85" t="s">
        <v>128</v>
      </c>
      <c r="B667" s="86" t="s">
        <v>409</v>
      </c>
      <c r="C667" s="86" t="s">
        <v>67</v>
      </c>
      <c r="D667" s="86" t="s">
        <v>72</v>
      </c>
      <c r="E667" s="86" t="s">
        <v>289</v>
      </c>
      <c r="F667" s="86" t="s">
        <v>268</v>
      </c>
      <c r="G667" s="166">
        <v>30</v>
      </c>
      <c r="H667" s="166">
        <v>30</v>
      </c>
      <c r="I667" s="166">
        <f t="shared" si="112"/>
        <v>0</v>
      </c>
      <c r="J667" s="165">
        <f t="shared" si="113"/>
        <v>100</v>
      </c>
    </row>
    <row r="668" spans="1:10" s="11" customFormat="1" ht="21.75">
      <c r="A668" s="89" t="s">
        <v>397</v>
      </c>
      <c r="B668" s="88" t="s">
        <v>402</v>
      </c>
      <c r="C668" s="86"/>
      <c r="D668" s="86"/>
      <c r="E668" s="91"/>
      <c r="F668" s="91"/>
      <c r="G668" s="163">
        <f t="shared" ref="G668:H673" si="116">G669</f>
        <v>13.600000000000001</v>
      </c>
      <c r="H668" s="163">
        <f t="shared" si="116"/>
        <v>13.6</v>
      </c>
      <c r="I668" s="163">
        <f t="shared" si="112"/>
        <v>0</v>
      </c>
      <c r="J668" s="164">
        <f t="shared" si="113"/>
        <v>99.999999999999986</v>
      </c>
    </row>
    <row r="669" spans="1:10" s="11" customFormat="1" ht="21.75">
      <c r="A669" s="89" t="s">
        <v>398</v>
      </c>
      <c r="B669" s="88" t="s">
        <v>403</v>
      </c>
      <c r="C669" s="86"/>
      <c r="D669" s="86"/>
      <c r="E669" s="91"/>
      <c r="F669" s="91"/>
      <c r="G669" s="163">
        <f t="shared" si="116"/>
        <v>13.600000000000001</v>
      </c>
      <c r="H669" s="163">
        <f t="shared" si="116"/>
        <v>13.6</v>
      </c>
      <c r="I669" s="163">
        <f t="shared" si="112"/>
        <v>0</v>
      </c>
      <c r="J669" s="164">
        <f t="shared" si="113"/>
        <v>99.999999999999986</v>
      </c>
    </row>
    <row r="670" spans="1:10" s="58" customFormat="1">
      <c r="A670" s="79" t="s">
        <v>2</v>
      </c>
      <c r="B670" s="88" t="s">
        <v>403</v>
      </c>
      <c r="C670" s="88" t="s">
        <v>62</v>
      </c>
      <c r="D670" s="88" t="s">
        <v>33</v>
      </c>
      <c r="E670" s="92"/>
      <c r="F670" s="92"/>
      <c r="G670" s="163">
        <f t="shared" si="116"/>
        <v>13.600000000000001</v>
      </c>
      <c r="H670" s="163">
        <f t="shared" si="116"/>
        <v>13.6</v>
      </c>
      <c r="I670" s="163">
        <f t="shared" si="112"/>
        <v>0</v>
      </c>
      <c r="J670" s="164">
        <f t="shared" si="113"/>
        <v>99.999999999999986</v>
      </c>
    </row>
    <row r="671" spans="1:10" s="11" customFormat="1">
      <c r="A671" s="85" t="s">
        <v>59</v>
      </c>
      <c r="B671" s="86" t="s">
        <v>403</v>
      </c>
      <c r="C671" s="86" t="s">
        <v>62</v>
      </c>
      <c r="D671" s="86" t="s">
        <v>83</v>
      </c>
      <c r="E671" s="91"/>
      <c r="F671" s="91"/>
      <c r="G671" s="166">
        <f t="shared" si="116"/>
        <v>13.600000000000001</v>
      </c>
      <c r="H671" s="166">
        <f t="shared" si="116"/>
        <v>13.6</v>
      </c>
      <c r="I671" s="166">
        <f t="shared" si="112"/>
        <v>0</v>
      </c>
      <c r="J671" s="165">
        <f t="shared" si="113"/>
        <v>99.999999999999986</v>
      </c>
    </row>
    <row r="672" spans="1:10" s="11" customFormat="1" ht="45">
      <c r="A672" s="85" t="s">
        <v>90</v>
      </c>
      <c r="B672" s="86" t="s">
        <v>403</v>
      </c>
      <c r="C672" s="86" t="s">
        <v>62</v>
      </c>
      <c r="D672" s="86" t="s">
        <v>83</v>
      </c>
      <c r="E672" s="91" t="s">
        <v>91</v>
      </c>
      <c r="F672" s="91"/>
      <c r="G672" s="166">
        <f t="shared" si="116"/>
        <v>13.600000000000001</v>
      </c>
      <c r="H672" s="166">
        <f t="shared" si="116"/>
        <v>13.6</v>
      </c>
      <c r="I672" s="166">
        <f t="shared" si="112"/>
        <v>0</v>
      </c>
      <c r="J672" s="165">
        <f t="shared" si="113"/>
        <v>99.999999999999986</v>
      </c>
    </row>
    <row r="673" spans="1:10" s="11" customFormat="1" ht="22.5">
      <c r="A673" s="85" t="s">
        <v>87</v>
      </c>
      <c r="B673" s="86" t="s">
        <v>403</v>
      </c>
      <c r="C673" s="86" t="s">
        <v>62</v>
      </c>
      <c r="D673" s="86" t="s">
        <v>83</v>
      </c>
      <c r="E673" s="91" t="s">
        <v>88</v>
      </c>
      <c r="F673" s="91"/>
      <c r="G673" s="166">
        <f t="shared" si="116"/>
        <v>13.600000000000001</v>
      </c>
      <c r="H673" s="166">
        <f t="shared" si="116"/>
        <v>13.6</v>
      </c>
      <c r="I673" s="166">
        <f t="shared" si="112"/>
        <v>0</v>
      </c>
      <c r="J673" s="165">
        <f t="shared" si="113"/>
        <v>99.999999999999986</v>
      </c>
    </row>
    <row r="674" spans="1:10" s="11" customFormat="1">
      <c r="A674" s="85" t="s">
        <v>128</v>
      </c>
      <c r="B674" s="86" t="s">
        <v>403</v>
      </c>
      <c r="C674" s="86" t="s">
        <v>62</v>
      </c>
      <c r="D674" s="86" t="s">
        <v>83</v>
      </c>
      <c r="E674" s="91" t="s">
        <v>88</v>
      </c>
      <c r="F674" s="91" t="s">
        <v>268</v>
      </c>
      <c r="G674" s="166">
        <f>50-16.4-20</f>
        <v>13.600000000000001</v>
      </c>
      <c r="H674" s="166">
        <v>13.6</v>
      </c>
      <c r="I674" s="166">
        <f t="shared" si="112"/>
        <v>0</v>
      </c>
      <c r="J674" s="165">
        <f t="shared" si="113"/>
        <v>99.999999999999986</v>
      </c>
    </row>
    <row r="675" spans="1:10" s="58" customFormat="1" ht="21.75">
      <c r="A675" s="89" t="s">
        <v>399</v>
      </c>
      <c r="B675" s="88" t="s">
        <v>404</v>
      </c>
      <c r="C675" s="88"/>
      <c r="D675" s="88"/>
      <c r="E675" s="92"/>
      <c r="F675" s="92"/>
      <c r="G675" s="163">
        <f>G676+G682</f>
        <v>46.4</v>
      </c>
      <c r="H675" s="163">
        <f>H676+H682</f>
        <v>46.4</v>
      </c>
      <c r="I675" s="163">
        <f t="shared" si="112"/>
        <v>0</v>
      </c>
      <c r="J675" s="164">
        <f t="shared" si="113"/>
        <v>100</v>
      </c>
    </row>
    <row r="676" spans="1:10" s="58" customFormat="1" ht="42.75">
      <c r="A676" s="89" t="s">
        <v>400</v>
      </c>
      <c r="B676" s="88" t="s">
        <v>405</v>
      </c>
      <c r="C676" s="88"/>
      <c r="D676" s="88"/>
      <c r="E676" s="92"/>
      <c r="F676" s="92"/>
      <c r="G676" s="163">
        <f t="shared" ref="G676:H680" si="117">G677</f>
        <v>20.9</v>
      </c>
      <c r="H676" s="163">
        <f t="shared" si="117"/>
        <v>20.9</v>
      </c>
      <c r="I676" s="163">
        <f t="shared" si="112"/>
        <v>0</v>
      </c>
      <c r="J676" s="164">
        <f t="shared" si="113"/>
        <v>100</v>
      </c>
    </row>
    <row r="677" spans="1:10" s="58" customFormat="1">
      <c r="A677" s="79" t="s">
        <v>2</v>
      </c>
      <c r="B677" s="88" t="s">
        <v>405</v>
      </c>
      <c r="C677" s="88" t="s">
        <v>62</v>
      </c>
      <c r="D677" s="88" t="s">
        <v>33</v>
      </c>
      <c r="E677" s="92"/>
      <c r="F677" s="92"/>
      <c r="G677" s="163">
        <f t="shared" si="117"/>
        <v>20.9</v>
      </c>
      <c r="H677" s="163">
        <f t="shared" si="117"/>
        <v>20.9</v>
      </c>
      <c r="I677" s="163">
        <f t="shared" si="112"/>
        <v>0</v>
      </c>
      <c r="J677" s="164">
        <f t="shared" si="113"/>
        <v>100</v>
      </c>
    </row>
    <row r="678" spans="1:10" s="58" customFormat="1">
      <c r="A678" s="85" t="s">
        <v>59</v>
      </c>
      <c r="B678" s="86" t="s">
        <v>405</v>
      </c>
      <c r="C678" s="86" t="s">
        <v>62</v>
      </c>
      <c r="D678" s="86" t="s">
        <v>83</v>
      </c>
      <c r="E678" s="92"/>
      <c r="F678" s="92"/>
      <c r="G678" s="166">
        <f t="shared" si="117"/>
        <v>20.9</v>
      </c>
      <c r="H678" s="166">
        <f t="shared" si="117"/>
        <v>20.9</v>
      </c>
      <c r="I678" s="166">
        <f t="shared" si="112"/>
        <v>0</v>
      </c>
      <c r="J678" s="165">
        <f t="shared" si="113"/>
        <v>100</v>
      </c>
    </row>
    <row r="679" spans="1:10" s="11" customFormat="1" ht="45">
      <c r="A679" s="85" t="s">
        <v>90</v>
      </c>
      <c r="B679" s="86" t="s">
        <v>405</v>
      </c>
      <c r="C679" s="86" t="s">
        <v>62</v>
      </c>
      <c r="D679" s="86" t="s">
        <v>83</v>
      </c>
      <c r="E679" s="91" t="s">
        <v>91</v>
      </c>
      <c r="F679" s="91"/>
      <c r="G679" s="166">
        <f t="shared" si="117"/>
        <v>20.9</v>
      </c>
      <c r="H679" s="166">
        <f t="shared" si="117"/>
        <v>20.9</v>
      </c>
      <c r="I679" s="166">
        <f t="shared" si="112"/>
        <v>0</v>
      </c>
      <c r="J679" s="165">
        <f t="shared" si="113"/>
        <v>100</v>
      </c>
    </row>
    <row r="680" spans="1:10" s="11" customFormat="1" ht="22.5">
      <c r="A680" s="85" t="s">
        <v>87</v>
      </c>
      <c r="B680" s="86" t="s">
        <v>405</v>
      </c>
      <c r="C680" s="86" t="s">
        <v>62</v>
      </c>
      <c r="D680" s="86" t="s">
        <v>83</v>
      </c>
      <c r="E680" s="91" t="s">
        <v>88</v>
      </c>
      <c r="F680" s="91"/>
      <c r="G680" s="166">
        <f t="shared" si="117"/>
        <v>20.9</v>
      </c>
      <c r="H680" s="166">
        <f t="shared" si="117"/>
        <v>20.9</v>
      </c>
      <c r="I680" s="166">
        <f t="shared" si="112"/>
        <v>0</v>
      </c>
      <c r="J680" s="165">
        <f t="shared" si="113"/>
        <v>100</v>
      </c>
    </row>
    <row r="681" spans="1:10" s="11" customFormat="1">
      <c r="A681" s="85" t="s">
        <v>128</v>
      </c>
      <c r="B681" s="86" t="s">
        <v>405</v>
      </c>
      <c r="C681" s="86" t="s">
        <v>62</v>
      </c>
      <c r="D681" s="86" t="s">
        <v>83</v>
      </c>
      <c r="E681" s="91" t="s">
        <v>88</v>
      </c>
      <c r="F681" s="91" t="s">
        <v>268</v>
      </c>
      <c r="G681" s="166">
        <f>14+6.9</f>
        <v>20.9</v>
      </c>
      <c r="H681" s="166">
        <v>20.9</v>
      </c>
      <c r="I681" s="166">
        <f t="shared" si="112"/>
        <v>0</v>
      </c>
      <c r="J681" s="165">
        <f t="shared" si="113"/>
        <v>100</v>
      </c>
    </row>
    <row r="682" spans="1:10" s="58" customFormat="1" ht="32.25">
      <c r="A682" s="89" t="s">
        <v>491</v>
      </c>
      <c r="B682" s="88" t="s">
        <v>406</v>
      </c>
      <c r="C682" s="88"/>
      <c r="D682" s="88"/>
      <c r="E682" s="92"/>
      <c r="F682" s="92"/>
      <c r="G682" s="163">
        <f>G683+G688</f>
        <v>25.5</v>
      </c>
      <c r="H682" s="163">
        <f>H683+H688</f>
        <v>25.5</v>
      </c>
      <c r="I682" s="163">
        <f t="shared" si="112"/>
        <v>0</v>
      </c>
      <c r="J682" s="164">
        <f t="shared" si="113"/>
        <v>100</v>
      </c>
    </row>
    <row r="683" spans="1:10" s="58" customFormat="1">
      <c r="A683" s="79" t="s">
        <v>2</v>
      </c>
      <c r="B683" s="88" t="s">
        <v>406</v>
      </c>
      <c r="C683" s="88" t="s">
        <v>62</v>
      </c>
      <c r="D683" s="88" t="s">
        <v>33</v>
      </c>
      <c r="E683" s="92"/>
      <c r="F683" s="92"/>
      <c r="G683" s="163">
        <f t="shared" ref="G683:H686" si="118">G684</f>
        <v>10</v>
      </c>
      <c r="H683" s="163">
        <f t="shared" si="118"/>
        <v>10</v>
      </c>
      <c r="I683" s="163">
        <f t="shared" si="112"/>
        <v>0</v>
      </c>
      <c r="J683" s="164">
        <f t="shared" si="113"/>
        <v>100</v>
      </c>
    </row>
    <row r="684" spans="1:10" s="58" customFormat="1">
      <c r="A684" s="85" t="s">
        <v>59</v>
      </c>
      <c r="B684" s="86" t="s">
        <v>406</v>
      </c>
      <c r="C684" s="86" t="s">
        <v>62</v>
      </c>
      <c r="D684" s="86" t="s">
        <v>83</v>
      </c>
      <c r="E684" s="92"/>
      <c r="F684" s="92"/>
      <c r="G684" s="163">
        <f t="shared" si="118"/>
        <v>10</v>
      </c>
      <c r="H684" s="163">
        <f t="shared" si="118"/>
        <v>10</v>
      </c>
      <c r="I684" s="163">
        <f t="shared" si="112"/>
        <v>0</v>
      </c>
      <c r="J684" s="164">
        <f t="shared" si="113"/>
        <v>100</v>
      </c>
    </row>
    <row r="685" spans="1:10" s="11" customFormat="1" ht="22.5">
      <c r="A685" s="85" t="s">
        <v>331</v>
      </c>
      <c r="B685" s="86" t="s">
        <v>406</v>
      </c>
      <c r="C685" s="86" t="s">
        <v>62</v>
      </c>
      <c r="D685" s="86" t="s">
        <v>83</v>
      </c>
      <c r="E685" s="86" t="s">
        <v>92</v>
      </c>
      <c r="F685" s="86"/>
      <c r="G685" s="166">
        <f t="shared" si="118"/>
        <v>10</v>
      </c>
      <c r="H685" s="166">
        <f t="shared" si="118"/>
        <v>10</v>
      </c>
      <c r="I685" s="166">
        <f t="shared" si="112"/>
        <v>0</v>
      </c>
      <c r="J685" s="165">
        <f t="shared" si="113"/>
        <v>100</v>
      </c>
    </row>
    <row r="686" spans="1:10" s="11" customFormat="1" ht="22.5">
      <c r="A686" s="85" t="s">
        <v>558</v>
      </c>
      <c r="B686" s="86" t="s">
        <v>406</v>
      </c>
      <c r="C686" s="86" t="s">
        <v>62</v>
      </c>
      <c r="D686" s="86" t="s">
        <v>83</v>
      </c>
      <c r="E686" s="86" t="s">
        <v>89</v>
      </c>
      <c r="F686" s="86"/>
      <c r="G686" s="166">
        <f t="shared" si="118"/>
        <v>10</v>
      </c>
      <c r="H686" s="166">
        <f t="shared" si="118"/>
        <v>10</v>
      </c>
      <c r="I686" s="166">
        <f t="shared" si="112"/>
        <v>0</v>
      </c>
      <c r="J686" s="165">
        <f t="shared" si="113"/>
        <v>100</v>
      </c>
    </row>
    <row r="687" spans="1:10" s="11" customFormat="1">
      <c r="A687" s="85" t="s">
        <v>128</v>
      </c>
      <c r="B687" s="86" t="s">
        <v>406</v>
      </c>
      <c r="C687" s="86" t="s">
        <v>62</v>
      </c>
      <c r="D687" s="86" t="s">
        <v>83</v>
      </c>
      <c r="E687" s="86" t="s">
        <v>89</v>
      </c>
      <c r="F687" s="86" t="s">
        <v>268</v>
      </c>
      <c r="G687" s="166">
        <v>10</v>
      </c>
      <c r="H687" s="166">
        <v>10</v>
      </c>
      <c r="I687" s="166">
        <f t="shared" si="112"/>
        <v>0</v>
      </c>
      <c r="J687" s="165">
        <f t="shared" si="113"/>
        <v>100</v>
      </c>
    </row>
    <row r="688" spans="1:10" s="58" customFormat="1">
      <c r="A688" s="89" t="s">
        <v>120</v>
      </c>
      <c r="B688" s="88" t="s">
        <v>406</v>
      </c>
      <c r="C688" s="80" t="s">
        <v>69</v>
      </c>
      <c r="D688" s="80" t="s">
        <v>33</v>
      </c>
      <c r="E688" s="80"/>
      <c r="F688" s="76"/>
      <c r="G688" s="163">
        <f t="shared" ref="G688:H691" si="119">G689</f>
        <v>15.5</v>
      </c>
      <c r="H688" s="163">
        <f t="shared" si="119"/>
        <v>15.5</v>
      </c>
      <c r="I688" s="163">
        <f t="shared" si="112"/>
        <v>0</v>
      </c>
      <c r="J688" s="164">
        <f t="shared" si="113"/>
        <v>100</v>
      </c>
    </row>
    <row r="689" spans="1:10" s="11" customFormat="1">
      <c r="A689" s="85" t="s">
        <v>82</v>
      </c>
      <c r="B689" s="86" t="s">
        <v>406</v>
      </c>
      <c r="C689" s="84" t="s">
        <v>69</v>
      </c>
      <c r="D689" s="84" t="s">
        <v>64</v>
      </c>
      <c r="E689" s="84"/>
      <c r="F689" s="81"/>
      <c r="G689" s="166">
        <f t="shared" si="119"/>
        <v>15.5</v>
      </c>
      <c r="H689" s="166">
        <f t="shared" si="119"/>
        <v>15.5</v>
      </c>
      <c r="I689" s="166">
        <f t="shared" si="112"/>
        <v>0</v>
      </c>
      <c r="J689" s="165">
        <f t="shared" si="113"/>
        <v>100</v>
      </c>
    </row>
    <row r="690" spans="1:10" s="11" customFormat="1" ht="22.5">
      <c r="A690" s="85" t="s">
        <v>331</v>
      </c>
      <c r="B690" s="86" t="s">
        <v>406</v>
      </c>
      <c r="C690" s="84" t="s">
        <v>69</v>
      </c>
      <c r="D690" s="84" t="s">
        <v>64</v>
      </c>
      <c r="E690" s="86" t="s">
        <v>92</v>
      </c>
      <c r="F690" s="81"/>
      <c r="G690" s="166">
        <f t="shared" si="119"/>
        <v>15.5</v>
      </c>
      <c r="H690" s="166">
        <f t="shared" si="119"/>
        <v>15.5</v>
      </c>
      <c r="I690" s="166">
        <f t="shared" si="112"/>
        <v>0</v>
      </c>
      <c r="J690" s="165">
        <f t="shared" si="113"/>
        <v>100</v>
      </c>
    </row>
    <row r="691" spans="1:10" s="11" customFormat="1" ht="22.5">
      <c r="A691" s="85" t="s">
        <v>558</v>
      </c>
      <c r="B691" s="86" t="s">
        <v>406</v>
      </c>
      <c r="C691" s="84" t="s">
        <v>69</v>
      </c>
      <c r="D691" s="84" t="s">
        <v>64</v>
      </c>
      <c r="E691" s="86" t="s">
        <v>89</v>
      </c>
      <c r="F691" s="81"/>
      <c r="G691" s="166">
        <f t="shared" si="119"/>
        <v>15.5</v>
      </c>
      <c r="H691" s="166">
        <f t="shared" si="119"/>
        <v>15.5</v>
      </c>
      <c r="I691" s="166">
        <f t="shared" si="112"/>
        <v>0</v>
      </c>
      <c r="J691" s="165">
        <f t="shared" si="113"/>
        <v>100</v>
      </c>
    </row>
    <row r="692" spans="1:10" s="11" customFormat="1" ht="22.5">
      <c r="A692" s="82" t="s">
        <v>132</v>
      </c>
      <c r="B692" s="86" t="s">
        <v>406</v>
      </c>
      <c r="C692" s="84" t="s">
        <v>69</v>
      </c>
      <c r="D692" s="84" t="s">
        <v>64</v>
      </c>
      <c r="E692" s="86" t="s">
        <v>89</v>
      </c>
      <c r="F692" s="81">
        <v>726</v>
      </c>
      <c r="G692" s="166">
        <f>6+9.5</f>
        <v>15.5</v>
      </c>
      <c r="H692" s="166">
        <v>15.5</v>
      </c>
      <c r="I692" s="166">
        <f t="shared" si="112"/>
        <v>0</v>
      </c>
      <c r="J692" s="165">
        <f t="shared" si="113"/>
        <v>100</v>
      </c>
    </row>
    <row r="693" spans="1:10" s="58" customFormat="1" ht="32.450000000000003" customHeight="1">
      <c r="A693" s="89" t="s">
        <v>681</v>
      </c>
      <c r="B693" s="77" t="s">
        <v>352</v>
      </c>
      <c r="C693" s="80"/>
      <c r="D693" s="80"/>
      <c r="E693" s="88"/>
      <c r="F693" s="76"/>
      <c r="G693" s="163">
        <f t="shared" ref="G693:H705" si="120">G694</f>
        <v>20366.8</v>
      </c>
      <c r="H693" s="163">
        <f t="shared" si="120"/>
        <v>20181</v>
      </c>
      <c r="I693" s="163">
        <f t="shared" si="112"/>
        <v>185.79999999999927</v>
      </c>
      <c r="J693" s="164">
        <f t="shared" si="113"/>
        <v>99.087731013217592</v>
      </c>
    </row>
    <row r="694" spans="1:10" s="58" customFormat="1" ht="21.75" customHeight="1">
      <c r="A694" s="89" t="s">
        <v>393</v>
      </c>
      <c r="B694" s="77" t="s">
        <v>353</v>
      </c>
      <c r="C694" s="80"/>
      <c r="D694" s="80"/>
      <c r="E694" s="88"/>
      <c r="F694" s="76"/>
      <c r="G694" s="163">
        <f>G695+G701</f>
        <v>20366.8</v>
      </c>
      <c r="H694" s="163">
        <f>H695+H701</f>
        <v>20181</v>
      </c>
      <c r="I694" s="163">
        <f t="shared" si="112"/>
        <v>185.79999999999927</v>
      </c>
      <c r="J694" s="164">
        <f t="shared" si="113"/>
        <v>99.087731013217592</v>
      </c>
    </row>
    <row r="695" spans="1:10" s="58" customFormat="1" ht="42.75">
      <c r="A695" s="115" t="s">
        <v>623</v>
      </c>
      <c r="B695" s="77" t="s">
        <v>624</v>
      </c>
      <c r="C695" s="80"/>
      <c r="D695" s="80"/>
      <c r="E695" s="88"/>
      <c r="F695" s="76"/>
      <c r="G695" s="163">
        <f t="shared" si="120"/>
        <v>300</v>
      </c>
      <c r="H695" s="163">
        <f t="shared" si="120"/>
        <v>298.5</v>
      </c>
      <c r="I695" s="163">
        <f t="shared" si="112"/>
        <v>1.5</v>
      </c>
      <c r="J695" s="164">
        <f t="shared" si="113"/>
        <v>99.5</v>
      </c>
    </row>
    <row r="696" spans="1:10" s="58" customFormat="1" ht="21">
      <c r="A696" s="90" t="s">
        <v>126</v>
      </c>
      <c r="B696" s="77" t="s">
        <v>624</v>
      </c>
      <c r="C696" s="80" t="s">
        <v>68</v>
      </c>
      <c r="D696" s="80" t="s">
        <v>33</v>
      </c>
      <c r="E696" s="88"/>
      <c r="F696" s="76"/>
      <c r="G696" s="163">
        <f t="shared" si="120"/>
        <v>300</v>
      </c>
      <c r="H696" s="163">
        <f t="shared" si="120"/>
        <v>298.5</v>
      </c>
      <c r="I696" s="163">
        <f t="shared" si="112"/>
        <v>1.5</v>
      </c>
      <c r="J696" s="164">
        <f t="shared" si="113"/>
        <v>99.5</v>
      </c>
    </row>
    <row r="697" spans="1:10" s="58" customFormat="1" ht="22.5">
      <c r="A697" s="87" t="s">
        <v>170</v>
      </c>
      <c r="B697" s="83" t="s">
        <v>624</v>
      </c>
      <c r="C697" s="84" t="s">
        <v>68</v>
      </c>
      <c r="D697" s="84" t="s">
        <v>63</v>
      </c>
      <c r="E697" s="88"/>
      <c r="F697" s="76"/>
      <c r="G697" s="166">
        <f t="shared" si="120"/>
        <v>300</v>
      </c>
      <c r="H697" s="166">
        <f t="shared" si="120"/>
        <v>298.5</v>
      </c>
      <c r="I697" s="166">
        <f t="shared" si="112"/>
        <v>1.5</v>
      </c>
      <c r="J697" s="165">
        <f t="shared" si="113"/>
        <v>99.5</v>
      </c>
    </row>
    <row r="698" spans="1:10" s="11" customFormat="1" ht="22.5">
      <c r="A698" s="85" t="s">
        <v>331</v>
      </c>
      <c r="B698" s="83" t="s">
        <v>624</v>
      </c>
      <c r="C698" s="84" t="s">
        <v>68</v>
      </c>
      <c r="D698" s="84" t="s">
        <v>63</v>
      </c>
      <c r="E698" s="86" t="s">
        <v>92</v>
      </c>
      <c r="F698" s="81"/>
      <c r="G698" s="166">
        <f t="shared" si="120"/>
        <v>300</v>
      </c>
      <c r="H698" s="166">
        <f t="shared" si="120"/>
        <v>298.5</v>
      </c>
      <c r="I698" s="166">
        <f t="shared" si="112"/>
        <v>1.5</v>
      </c>
      <c r="J698" s="165">
        <f t="shared" si="113"/>
        <v>99.5</v>
      </c>
    </row>
    <row r="699" spans="1:10" s="11" customFormat="1" ht="22.5">
      <c r="A699" s="85" t="s">
        <v>558</v>
      </c>
      <c r="B699" s="83" t="s">
        <v>624</v>
      </c>
      <c r="C699" s="84" t="s">
        <v>68</v>
      </c>
      <c r="D699" s="84" t="s">
        <v>63</v>
      </c>
      <c r="E699" s="86" t="s">
        <v>89</v>
      </c>
      <c r="F699" s="81"/>
      <c r="G699" s="166">
        <f t="shared" si="120"/>
        <v>300</v>
      </c>
      <c r="H699" s="166">
        <f t="shared" si="120"/>
        <v>298.5</v>
      </c>
      <c r="I699" s="166">
        <f t="shared" si="112"/>
        <v>1.5</v>
      </c>
      <c r="J699" s="165">
        <f t="shared" si="113"/>
        <v>99.5</v>
      </c>
    </row>
    <row r="700" spans="1:10" s="11" customFormat="1" ht="22.5">
      <c r="A700" s="85" t="s">
        <v>318</v>
      </c>
      <c r="B700" s="83" t="s">
        <v>624</v>
      </c>
      <c r="C700" s="84" t="s">
        <v>68</v>
      </c>
      <c r="D700" s="84" t="s">
        <v>63</v>
      </c>
      <c r="E700" s="86" t="s">
        <v>89</v>
      </c>
      <c r="F700" s="81">
        <v>727</v>
      </c>
      <c r="G700" s="166">
        <v>300</v>
      </c>
      <c r="H700" s="166">
        <v>298.5</v>
      </c>
      <c r="I700" s="166">
        <f t="shared" si="112"/>
        <v>1.5</v>
      </c>
      <c r="J700" s="165">
        <f t="shared" si="113"/>
        <v>99.5</v>
      </c>
    </row>
    <row r="701" spans="1:10" s="11" customFormat="1" ht="32.25">
      <c r="A701" s="115" t="s">
        <v>591</v>
      </c>
      <c r="B701" s="77" t="s">
        <v>592</v>
      </c>
      <c r="C701" s="80"/>
      <c r="D701" s="80"/>
      <c r="E701" s="88"/>
      <c r="F701" s="76"/>
      <c r="G701" s="163">
        <f t="shared" si="120"/>
        <v>20066.8</v>
      </c>
      <c r="H701" s="163">
        <f t="shared" si="120"/>
        <v>19882.5</v>
      </c>
      <c r="I701" s="163">
        <f t="shared" si="112"/>
        <v>184.29999999999927</v>
      </c>
      <c r="J701" s="164">
        <f t="shared" si="113"/>
        <v>99.081567564335131</v>
      </c>
    </row>
    <row r="702" spans="1:10" s="11" customFormat="1" ht="21">
      <c r="A702" s="90" t="s">
        <v>126</v>
      </c>
      <c r="B702" s="77" t="s">
        <v>592</v>
      </c>
      <c r="C702" s="80" t="s">
        <v>68</v>
      </c>
      <c r="D702" s="80" t="s">
        <v>33</v>
      </c>
      <c r="E702" s="88"/>
      <c r="F702" s="76"/>
      <c r="G702" s="163">
        <f t="shared" si="120"/>
        <v>20066.8</v>
      </c>
      <c r="H702" s="163">
        <f t="shared" si="120"/>
        <v>19882.5</v>
      </c>
      <c r="I702" s="163">
        <f t="shared" si="112"/>
        <v>184.29999999999927</v>
      </c>
      <c r="J702" s="164">
        <f t="shared" si="113"/>
        <v>99.081567564335131</v>
      </c>
    </row>
    <row r="703" spans="1:10" s="11" customFormat="1" ht="22.5">
      <c r="A703" s="87" t="s">
        <v>170</v>
      </c>
      <c r="B703" s="83" t="s">
        <v>592</v>
      </c>
      <c r="C703" s="84" t="s">
        <v>68</v>
      </c>
      <c r="D703" s="84" t="s">
        <v>63</v>
      </c>
      <c r="E703" s="88"/>
      <c r="F703" s="76"/>
      <c r="G703" s="166">
        <f t="shared" si="120"/>
        <v>20066.8</v>
      </c>
      <c r="H703" s="166">
        <f t="shared" si="120"/>
        <v>19882.5</v>
      </c>
      <c r="I703" s="166">
        <f t="shared" si="112"/>
        <v>184.29999999999927</v>
      </c>
      <c r="J703" s="165">
        <f t="shared" si="113"/>
        <v>99.081567564335131</v>
      </c>
    </row>
    <row r="704" spans="1:10" s="11" customFormat="1" ht="22.5">
      <c r="A704" s="85" t="s">
        <v>331</v>
      </c>
      <c r="B704" s="83" t="s">
        <v>592</v>
      </c>
      <c r="C704" s="84" t="s">
        <v>68</v>
      </c>
      <c r="D704" s="84" t="s">
        <v>63</v>
      </c>
      <c r="E704" s="86" t="s">
        <v>92</v>
      </c>
      <c r="F704" s="81"/>
      <c r="G704" s="166">
        <f t="shared" si="120"/>
        <v>20066.8</v>
      </c>
      <c r="H704" s="166">
        <f t="shared" si="120"/>
        <v>19882.5</v>
      </c>
      <c r="I704" s="166">
        <f t="shared" si="112"/>
        <v>184.29999999999927</v>
      </c>
      <c r="J704" s="165">
        <f t="shared" si="113"/>
        <v>99.081567564335131</v>
      </c>
    </row>
    <row r="705" spans="1:10" s="11" customFormat="1" ht="22.5">
      <c r="A705" s="85" t="s">
        <v>558</v>
      </c>
      <c r="B705" s="83" t="s">
        <v>592</v>
      </c>
      <c r="C705" s="84" t="s">
        <v>68</v>
      </c>
      <c r="D705" s="84" t="s">
        <v>63</v>
      </c>
      <c r="E705" s="86" t="s">
        <v>89</v>
      </c>
      <c r="F705" s="81"/>
      <c r="G705" s="166">
        <f t="shared" si="120"/>
        <v>20066.8</v>
      </c>
      <c r="H705" s="166">
        <f t="shared" si="120"/>
        <v>19882.5</v>
      </c>
      <c r="I705" s="166">
        <f t="shared" si="112"/>
        <v>184.29999999999927</v>
      </c>
      <c r="J705" s="165">
        <f t="shared" si="113"/>
        <v>99.081567564335131</v>
      </c>
    </row>
    <row r="706" spans="1:10" s="11" customFormat="1" ht="22.5">
      <c r="A706" s="85" t="s">
        <v>318</v>
      </c>
      <c r="B706" s="83" t="s">
        <v>592</v>
      </c>
      <c r="C706" s="84" t="s">
        <v>68</v>
      </c>
      <c r="D706" s="84" t="s">
        <v>63</v>
      </c>
      <c r="E706" s="86" t="s">
        <v>89</v>
      </c>
      <c r="F706" s="81">
        <v>727</v>
      </c>
      <c r="G706" s="166">
        <v>20066.8</v>
      </c>
      <c r="H706" s="166">
        <v>19882.5</v>
      </c>
      <c r="I706" s="166">
        <f t="shared" si="112"/>
        <v>184.29999999999927</v>
      </c>
      <c r="J706" s="165">
        <f t="shared" si="113"/>
        <v>99.081567564335131</v>
      </c>
    </row>
    <row r="707" spans="1:10" s="11" customFormat="1" ht="33.6" customHeight="1">
      <c r="A707" s="89" t="s">
        <v>682</v>
      </c>
      <c r="B707" s="77" t="s">
        <v>278</v>
      </c>
      <c r="C707" s="91"/>
      <c r="D707" s="80"/>
      <c r="E707" s="88"/>
      <c r="F707" s="76"/>
      <c r="G707" s="163">
        <f>G708</f>
        <v>122.3</v>
      </c>
      <c r="H707" s="163">
        <f>H708</f>
        <v>115.3</v>
      </c>
      <c r="I707" s="163">
        <f t="shared" si="112"/>
        <v>7</v>
      </c>
      <c r="J707" s="164">
        <f t="shared" si="113"/>
        <v>94.276369582992629</v>
      </c>
    </row>
    <row r="708" spans="1:10" s="58" customFormat="1" ht="42.75">
      <c r="A708" s="89" t="s">
        <v>394</v>
      </c>
      <c r="B708" s="77" t="s">
        <v>279</v>
      </c>
      <c r="C708" s="92"/>
      <c r="D708" s="80"/>
      <c r="E708" s="88"/>
      <c r="F708" s="76"/>
      <c r="G708" s="163">
        <f>G715+G709+G721</f>
        <v>122.3</v>
      </c>
      <c r="H708" s="163">
        <f>H715+H709+H721</f>
        <v>115.3</v>
      </c>
      <c r="I708" s="163">
        <f t="shared" si="112"/>
        <v>7</v>
      </c>
      <c r="J708" s="164">
        <f t="shared" si="113"/>
        <v>94.276369582992629</v>
      </c>
    </row>
    <row r="709" spans="1:10" s="11" customFormat="1" ht="24" customHeight="1">
      <c r="A709" s="89" t="s">
        <v>395</v>
      </c>
      <c r="B709" s="77" t="s">
        <v>280</v>
      </c>
      <c r="C709" s="92"/>
      <c r="D709" s="80"/>
      <c r="E709" s="88"/>
      <c r="F709" s="76"/>
      <c r="G709" s="163">
        <f t="shared" ref="G709:H713" si="121">G710</f>
        <v>20</v>
      </c>
      <c r="H709" s="163">
        <f t="shared" si="121"/>
        <v>20</v>
      </c>
      <c r="I709" s="163">
        <f t="shared" si="112"/>
        <v>0</v>
      </c>
      <c r="J709" s="164">
        <f t="shared" si="113"/>
        <v>100</v>
      </c>
    </row>
    <row r="710" spans="1:10" s="11" customFormat="1">
      <c r="A710" s="79" t="s">
        <v>2</v>
      </c>
      <c r="B710" s="83" t="s">
        <v>280</v>
      </c>
      <c r="C710" s="91" t="s">
        <v>62</v>
      </c>
      <c r="D710" s="84" t="s">
        <v>33</v>
      </c>
      <c r="E710" s="86"/>
      <c r="F710" s="81"/>
      <c r="G710" s="166">
        <f t="shared" si="121"/>
        <v>20</v>
      </c>
      <c r="H710" s="166">
        <f t="shared" si="121"/>
        <v>20</v>
      </c>
      <c r="I710" s="166">
        <f t="shared" si="112"/>
        <v>0</v>
      </c>
      <c r="J710" s="165">
        <f t="shared" si="113"/>
        <v>100</v>
      </c>
    </row>
    <row r="711" spans="1:10" s="11" customFormat="1">
      <c r="A711" s="85" t="s">
        <v>59</v>
      </c>
      <c r="B711" s="83" t="s">
        <v>280</v>
      </c>
      <c r="C711" s="91" t="s">
        <v>62</v>
      </c>
      <c r="D711" s="84" t="s">
        <v>83</v>
      </c>
      <c r="E711" s="86"/>
      <c r="F711" s="81"/>
      <c r="G711" s="166">
        <f t="shared" si="121"/>
        <v>20</v>
      </c>
      <c r="H711" s="166">
        <f t="shared" si="121"/>
        <v>20</v>
      </c>
      <c r="I711" s="166">
        <f t="shared" si="112"/>
        <v>0</v>
      </c>
      <c r="J711" s="165">
        <f t="shared" si="113"/>
        <v>100</v>
      </c>
    </row>
    <row r="712" spans="1:10" s="11" customFormat="1" ht="22.5">
      <c r="A712" s="85" t="s">
        <v>331</v>
      </c>
      <c r="B712" s="83" t="s">
        <v>280</v>
      </c>
      <c r="C712" s="91" t="s">
        <v>62</v>
      </c>
      <c r="D712" s="84" t="s">
        <v>83</v>
      </c>
      <c r="E712" s="86" t="s">
        <v>92</v>
      </c>
      <c r="F712" s="81"/>
      <c r="G712" s="166">
        <f t="shared" si="121"/>
        <v>20</v>
      </c>
      <c r="H712" s="166">
        <f t="shared" si="121"/>
        <v>20</v>
      </c>
      <c r="I712" s="166">
        <f t="shared" si="112"/>
        <v>0</v>
      </c>
      <c r="J712" s="165">
        <f t="shared" si="113"/>
        <v>100</v>
      </c>
    </row>
    <row r="713" spans="1:10" s="11" customFormat="1" ht="24" customHeight="1">
      <c r="A713" s="85" t="s">
        <v>558</v>
      </c>
      <c r="B713" s="83" t="s">
        <v>280</v>
      </c>
      <c r="C713" s="91" t="s">
        <v>62</v>
      </c>
      <c r="D713" s="84" t="s">
        <v>83</v>
      </c>
      <c r="E713" s="86" t="s">
        <v>89</v>
      </c>
      <c r="F713" s="81"/>
      <c r="G713" s="166">
        <f t="shared" si="121"/>
        <v>20</v>
      </c>
      <c r="H713" s="166">
        <f t="shared" si="121"/>
        <v>20</v>
      </c>
      <c r="I713" s="166">
        <f t="shared" si="112"/>
        <v>0</v>
      </c>
      <c r="J713" s="165">
        <f t="shared" si="113"/>
        <v>100</v>
      </c>
    </row>
    <row r="714" spans="1:10" s="11" customFormat="1">
      <c r="A714" s="82" t="s">
        <v>128</v>
      </c>
      <c r="B714" s="83" t="s">
        <v>280</v>
      </c>
      <c r="C714" s="91" t="s">
        <v>62</v>
      </c>
      <c r="D714" s="84" t="s">
        <v>83</v>
      </c>
      <c r="E714" s="86" t="s">
        <v>89</v>
      </c>
      <c r="F714" s="81">
        <v>721</v>
      </c>
      <c r="G714" s="166">
        <f>35-10-5</f>
        <v>20</v>
      </c>
      <c r="H714" s="166">
        <v>20</v>
      </c>
      <c r="I714" s="166">
        <f t="shared" ref="I714:I757" si="122">G714-H714</f>
        <v>0</v>
      </c>
      <c r="J714" s="165">
        <f t="shared" ref="J714:J757" si="123">H714/G714*100</f>
        <v>100</v>
      </c>
    </row>
    <row r="715" spans="1:10" s="11" customFormat="1" ht="32.25">
      <c r="A715" s="89" t="s">
        <v>396</v>
      </c>
      <c r="B715" s="77" t="s">
        <v>281</v>
      </c>
      <c r="C715" s="92"/>
      <c r="D715" s="80"/>
      <c r="E715" s="88"/>
      <c r="F715" s="76"/>
      <c r="G715" s="163">
        <f t="shared" ref="G715:H719" si="124">G716</f>
        <v>7.3</v>
      </c>
      <c r="H715" s="163">
        <f t="shared" si="124"/>
        <v>0.3</v>
      </c>
      <c r="I715" s="163">
        <f t="shared" si="122"/>
        <v>7</v>
      </c>
      <c r="J715" s="164">
        <f t="shared" si="123"/>
        <v>4.10958904109589</v>
      </c>
    </row>
    <row r="716" spans="1:10" s="11" customFormat="1">
      <c r="A716" s="79" t="s">
        <v>2</v>
      </c>
      <c r="B716" s="83" t="s">
        <v>281</v>
      </c>
      <c r="C716" s="91" t="s">
        <v>62</v>
      </c>
      <c r="D716" s="84" t="s">
        <v>33</v>
      </c>
      <c r="E716" s="86"/>
      <c r="F716" s="81"/>
      <c r="G716" s="166">
        <f t="shared" si="124"/>
        <v>7.3</v>
      </c>
      <c r="H716" s="166">
        <f t="shared" si="124"/>
        <v>0.3</v>
      </c>
      <c r="I716" s="166">
        <f t="shared" si="122"/>
        <v>7</v>
      </c>
      <c r="J716" s="165">
        <f t="shared" si="123"/>
        <v>4.10958904109589</v>
      </c>
    </row>
    <row r="717" spans="1:10" s="11" customFormat="1">
      <c r="A717" s="85" t="s">
        <v>59</v>
      </c>
      <c r="B717" s="83" t="s">
        <v>281</v>
      </c>
      <c r="C717" s="91" t="s">
        <v>62</v>
      </c>
      <c r="D717" s="84" t="s">
        <v>83</v>
      </c>
      <c r="E717" s="86"/>
      <c r="F717" s="81"/>
      <c r="G717" s="166">
        <f t="shared" si="124"/>
        <v>7.3</v>
      </c>
      <c r="H717" s="166">
        <f t="shared" si="124"/>
        <v>0.3</v>
      </c>
      <c r="I717" s="166">
        <f t="shared" si="122"/>
        <v>7</v>
      </c>
      <c r="J717" s="165">
        <f t="shared" si="123"/>
        <v>4.10958904109589</v>
      </c>
    </row>
    <row r="718" spans="1:10" s="11" customFormat="1" ht="22.5">
      <c r="A718" s="85" t="s">
        <v>331</v>
      </c>
      <c r="B718" s="83" t="s">
        <v>281</v>
      </c>
      <c r="C718" s="91" t="s">
        <v>62</v>
      </c>
      <c r="D718" s="84" t="s">
        <v>83</v>
      </c>
      <c r="E718" s="91" t="s">
        <v>92</v>
      </c>
      <c r="F718" s="81"/>
      <c r="G718" s="166">
        <f t="shared" si="124"/>
        <v>7.3</v>
      </c>
      <c r="H718" s="166">
        <f t="shared" si="124"/>
        <v>0.3</v>
      </c>
      <c r="I718" s="166">
        <f t="shared" si="122"/>
        <v>7</v>
      </c>
      <c r="J718" s="165">
        <f t="shared" si="123"/>
        <v>4.10958904109589</v>
      </c>
    </row>
    <row r="719" spans="1:10" s="11" customFormat="1" ht="27.6" customHeight="1">
      <c r="A719" s="85" t="s">
        <v>558</v>
      </c>
      <c r="B719" s="83" t="s">
        <v>281</v>
      </c>
      <c r="C719" s="91" t="s">
        <v>62</v>
      </c>
      <c r="D719" s="84" t="s">
        <v>83</v>
      </c>
      <c r="E719" s="91" t="s">
        <v>89</v>
      </c>
      <c r="F719" s="81"/>
      <c r="G719" s="166">
        <f t="shared" si="124"/>
        <v>7.3</v>
      </c>
      <c r="H719" s="166">
        <f t="shared" si="124"/>
        <v>0.3</v>
      </c>
      <c r="I719" s="166">
        <f t="shared" si="122"/>
        <v>7</v>
      </c>
      <c r="J719" s="165">
        <f t="shared" si="123"/>
        <v>4.10958904109589</v>
      </c>
    </row>
    <row r="720" spans="1:10" s="11" customFormat="1">
      <c r="A720" s="82" t="s">
        <v>128</v>
      </c>
      <c r="B720" s="83" t="s">
        <v>281</v>
      </c>
      <c r="C720" s="84" t="s">
        <v>62</v>
      </c>
      <c r="D720" s="84" t="s">
        <v>83</v>
      </c>
      <c r="E720" s="84" t="s">
        <v>89</v>
      </c>
      <c r="F720" s="81">
        <v>721</v>
      </c>
      <c r="G720" s="166">
        <f>10-2.7</f>
        <v>7.3</v>
      </c>
      <c r="H720" s="166">
        <v>0.3</v>
      </c>
      <c r="I720" s="166">
        <f t="shared" si="122"/>
        <v>7</v>
      </c>
      <c r="J720" s="165">
        <f t="shared" si="123"/>
        <v>4.10958904109589</v>
      </c>
    </row>
    <row r="721" spans="1:10" s="11" customFormat="1" ht="12" customHeight="1">
      <c r="A721" s="89" t="s">
        <v>282</v>
      </c>
      <c r="B721" s="77" t="s">
        <v>283</v>
      </c>
      <c r="C721" s="80"/>
      <c r="D721" s="80"/>
      <c r="E721" s="80"/>
      <c r="F721" s="76"/>
      <c r="G721" s="163">
        <f t="shared" ref="G721:H725" si="125">G722</f>
        <v>95</v>
      </c>
      <c r="H721" s="163">
        <f t="shared" si="125"/>
        <v>95</v>
      </c>
      <c r="I721" s="163">
        <f t="shared" si="122"/>
        <v>0</v>
      </c>
      <c r="J721" s="164">
        <f t="shared" si="123"/>
        <v>100</v>
      </c>
    </row>
    <row r="722" spans="1:10" s="11" customFormat="1">
      <c r="A722" s="79" t="s">
        <v>2</v>
      </c>
      <c r="B722" s="83" t="s">
        <v>283</v>
      </c>
      <c r="C722" s="91" t="s">
        <v>62</v>
      </c>
      <c r="D722" s="84" t="s">
        <v>33</v>
      </c>
      <c r="E722" s="80"/>
      <c r="F722" s="76"/>
      <c r="G722" s="166">
        <f t="shared" si="125"/>
        <v>95</v>
      </c>
      <c r="H722" s="166">
        <f t="shared" si="125"/>
        <v>95</v>
      </c>
      <c r="I722" s="166">
        <f t="shared" si="122"/>
        <v>0</v>
      </c>
      <c r="J722" s="165">
        <f t="shared" si="123"/>
        <v>100</v>
      </c>
    </row>
    <row r="723" spans="1:10" s="11" customFormat="1">
      <c r="A723" s="85" t="s">
        <v>59</v>
      </c>
      <c r="B723" s="83" t="s">
        <v>283</v>
      </c>
      <c r="C723" s="91" t="s">
        <v>62</v>
      </c>
      <c r="D723" s="84" t="s">
        <v>83</v>
      </c>
      <c r="E723" s="80"/>
      <c r="F723" s="76"/>
      <c r="G723" s="166">
        <f t="shared" si="125"/>
        <v>95</v>
      </c>
      <c r="H723" s="166">
        <f t="shared" si="125"/>
        <v>95</v>
      </c>
      <c r="I723" s="166">
        <f t="shared" si="122"/>
        <v>0</v>
      </c>
      <c r="J723" s="165">
        <f t="shared" si="123"/>
        <v>100</v>
      </c>
    </row>
    <row r="724" spans="1:10" s="11" customFormat="1" ht="22.5">
      <c r="A724" s="85" t="s">
        <v>331</v>
      </c>
      <c r="B724" s="83" t="s">
        <v>283</v>
      </c>
      <c r="C724" s="91" t="s">
        <v>62</v>
      </c>
      <c r="D724" s="84" t="s">
        <v>83</v>
      </c>
      <c r="E724" s="84" t="s">
        <v>92</v>
      </c>
      <c r="F724" s="81"/>
      <c r="G724" s="166">
        <f t="shared" si="125"/>
        <v>95</v>
      </c>
      <c r="H724" s="166">
        <f t="shared" si="125"/>
        <v>95</v>
      </c>
      <c r="I724" s="166">
        <f t="shared" si="122"/>
        <v>0</v>
      </c>
      <c r="J724" s="165">
        <f t="shared" si="123"/>
        <v>100</v>
      </c>
    </row>
    <row r="725" spans="1:10" s="11" customFormat="1" ht="23.25" customHeight="1">
      <c r="A725" s="85" t="s">
        <v>558</v>
      </c>
      <c r="B725" s="83" t="s">
        <v>283</v>
      </c>
      <c r="C725" s="86" t="s">
        <v>62</v>
      </c>
      <c r="D725" s="84" t="s">
        <v>83</v>
      </c>
      <c r="E725" s="84" t="s">
        <v>89</v>
      </c>
      <c r="F725" s="81"/>
      <c r="G725" s="166">
        <f t="shared" si="125"/>
        <v>95</v>
      </c>
      <c r="H725" s="166">
        <f t="shared" si="125"/>
        <v>95</v>
      </c>
      <c r="I725" s="166">
        <f t="shared" si="122"/>
        <v>0</v>
      </c>
      <c r="J725" s="165">
        <f t="shared" si="123"/>
        <v>100</v>
      </c>
    </row>
    <row r="726" spans="1:10" s="11" customFormat="1">
      <c r="A726" s="82" t="s">
        <v>128</v>
      </c>
      <c r="B726" s="83" t="s">
        <v>283</v>
      </c>
      <c r="C726" s="86" t="s">
        <v>62</v>
      </c>
      <c r="D726" s="84" t="s">
        <v>83</v>
      </c>
      <c r="E726" s="84" t="s">
        <v>89</v>
      </c>
      <c r="F726" s="81">
        <v>721</v>
      </c>
      <c r="G726" s="166">
        <f>40+55</f>
        <v>95</v>
      </c>
      <c r="H726" s="166">
        <v>95</v>
      </c>
      <c r="I726" s="166">
        <f t="shared" si="122"/>
        <v>0</v>
      </c>
      <c r="J726" s="165">
        <f t="shared" si="123"/>
        <v>100</v>
      </c>
    </row>
    <row r="727" spans="1:10" s="11" customFormat="1" ht="32.25">
      <c r="A727" s="79" t="s">
        <v>683</v>
      </c>
      <c r="B727" s="77" t="s">
        <v>320</v>
      </c>
      <c r="C727" s="84"/>
      <c r="D727" s="84"/>
      <c r="E727" s="86"/>
      <c r="F727" s="81"/>
      <c r="G727" s="163">
        <f t="shared" ref="G727:H732" si="126">G728</f>
        <v>4316.6000000000004</v>
      </c>
      <c r="H727" s="163">
        <f t="shared" si="126"/>
        <v>4316.6000000000004</v>
      </c>
      <c r="I727" s="163">
        <f t="shared" si="122"/>
        <v>0</v>
      </c>
      <c r="J727" s="164">
        <f t="shared" si="123"/>
        <v>100</v>
      </c>
    </row>
    <row r="728" spans="1:10" s="11" customFormat="1" ht="22.5">
      <c r="A728" s="124" t="s">
        <v>614</v>
      </c>
      <c r="B728" s="77" t="s">
        <v>321</v>
      </c>
      <c r="C728" s="84"/>
      <c r="D728" s="84"/>
      <c r="E728" s="86"/>
      <c r="F728" s="81"/>
      <c r="G728" s="163">
        <f t="shared" si="126"/>
        <v>4316.6000000000004</v>
      </c>
      <c r="H728" s="163">
        <f t="shared" si="126"/>
        <v>4316.6000000000004</v>
      </c>
      <c r="I728" s="163">
        <f t="shared" si="122"/>
        <v>0</v>
      </c>
      <c r="J728" s="164">
        <f t="shared" si="123"/>
        <v>100</v>
      </c>
    </row>
    <row r="729" spans="1:10" s="58" customFormat="1" ht="21.75">
      <c r="A729" s="79" t="s">
        <v>322</v>
      </c>
      <c r="B729" s="77" t="s">
        <v>323</v>
      </c>
      <c r="C729" s="84"/>
      <c r="D729" s="84"/>
      <c r="E729" s="88"/>
      <c r="F729" s="76"/>
      <c r="G729" s="163">
        <f>G731</f>
        <v>4316.6000000000004</v>
      </c>
      <c r="H729" s="163">
        <f>H731</f>
        <v>4316.6000000000004</v>
      </c>
      <c r="I729" s="163">
        <f t="shared" si="122"/>
        <v>0</v>
      </c>
      <c r="J729" s="164">
        <f t="shared" si="123"/>
        <v>100</v>
      </c>
    </row>
    <row r="730" spans="1:10" s="58" customFormat="1">
      <c r="A730" s="79" t="s">
        <v>5</v>
      </c>
      <c r="B730" s="77" t="s">
        <v>323</v>
      </c>
      <c r="C730" s="80" t="s">
        <v>64</v>
      </c>
      <c r="D730" s="80" t="s">
        <v>33</v>
      </c>
      <c r="E730" s="88"/>
      <c r="F730" s="76"/>
      <c r="G730" s="163">
        <f>G731</f>
        <v>4316.6000000000004</v>
      </c>
      <c r="H730" s="163">
        <f>H731</f>
        <v>4316.6000000000004</v>
      </c>
      <c r="I730" s="163">
        <f t="shared" si="122"/>
        <v>0</v>
      </c>
      <c r="J730" s="164">
        <f t="shared" si="123"/>
        <v>100</v>
      </c>
    </row>
    <row r="731" spans="1:10" s="11" customFormat="1">
      <c r="A731" s="82" t="s">
        <v>78</v>
      </c>
      <c r="B731" s="83" t="s">
        <v>323</v>
      </c>
      <c r="C731" s="84" t="s">
        <v>64</v>
      </c>
      <c r="D731" s="84" t="s">
        <v>71</v>
      </c>
      <c r="E731" s="86"/>
      <c r="F731" s="81"/>
      <c r="G731" s="166">
        <f t="shared" si="126"/>
        <v>4316.6000000000004</v>
      </c>
      <c r="H731" s="166">
        <f t="shared" si="126"/>
        <v>4316.6000000000004</v>
      </c>
      <c r="I731" s="166">
        <f t="shared" si="122"/>
        <v>0</v>
      </c>
      <c r="J731" s="165">
        <f t="shared" si="123"/>
        <v>100</v>
      </c>
    </row>
    <row r="732" spans="1:10" s="11" customFormat="1" ht="22.5">
      <c r="A732" s="85" t="s">
        <v>331</v>
      </c>
      <c r="B732" s="83" t="s">
        <v>323</v>
      </c>
      <c r="C732" s="84" t="s">
        <v>64</v>
      </c>
      <c r="D732" s="84" t="s">
        <v>71</v>
      </c>
      <c r="E732" s="86" t="s">
        <v>92</v>
      </c>
      <c r="F732" s="81"/>
      <c r="G732" s="166">
        <f t="shared" si="126"/>
        <v>4316.6000000000004</v>
      </c>
      <c r="H732" s="166">
        <f t="shared" si="126"/>
        <v>4316.6000000000004</v>
      </c>
      <c r="I732" s="166">
        <f t="shared" si="122"/>
        <v>0</v>
      </c>
      <c r="J732" s="165">
        <f t="shared" si="123"/>
        <v>100</v>
      </c>
    </row>
    <row r="733" spans="1:10" s="11" customFormat="1" ht="22.5">
      <c r="A733" s="85" t="s">
        <v>558</v>
      </c>
      <c r="B733" s="83" t="s">
        <v>323</v>
      </c>
      <c r="C733" s="84" t="s">
        <v>64</v>
      </c>
      <c r="D733" s="84" t="s">
        <v>71</v>
      </c>
      <c r="E733" s="86" t="s">
        <v>89</v>
      </c>
      <c r="F733" s="81"/>
      <c r="G733" s="166">
        <f>G734</f>
        <v>4316.6000000000004</v>
      </c>
      <c r="H733" s="166">
        <f>H734</f>
        <v>4316.6000000000004</v>
      </c>
      <c r="I733" s="166">
        <f t="shared" si="122"/>
        <v>0</v>
      </c>
      <c r="J733" s="165">
        <f t="shared" si="123"/>
        <v>100</v>
      </c>
    </row>
    <row r="734" spans="1:10" s="11" customFormat="1" ht="22.5">
      <c r="A734" s="87" t="s">
        <v>318</v>
      </c>
      <c r="B734" s="83" t="s">
        <v>323</v>
      </c>
      <c r="C734" s="84" t="s">
        <v>64</v>
      </c>
      <c r="D734" s="84" t="s">
        <v>71</v>
      </c>
      <c r="E734" s="86" t="s">
        <v>89</v>
      </c>
      <c r="F734" s="81">
        <v>727</v>
      </c>
      <c r="G734" s="166">
        <v>4316.6000000000004</v>
      </c>
      <c r="H734" s="166">
        <v>4316.6000000000004</v>
      </c>
      <c r="I734" s="166">
        <f t="shared" si="122"/>
        <v>0</v>
      </c>
      <c r="J734" s="165">
        <f t="shared" si="123"/>
        <v>100</v>
      </c>
    </row>
    <row r="735" spans="1:10" s="58" customFormat="1" ht="32.25">
      <c r="A735" s="89" t="s">
        <v>684</v>
      </c>
      <c r="B735" s="88" t="s">
        <v>354</v>
      </c>
      <c r="C735" s="80"/>
      <c r="D735" s="80"/>
      <c r="E735" s="88"/>
      <c r="F735" s="76"/>
      <c r="G735" s="163">
        <f>G736</f>
        <v>150</v>
      </c>
      <c r="H735" s="163">
        <f>H736</f>
        <v>0</v>
      </c>
      <c r="I735" s="163">
        <f t="shared" si="122"/>
        <v>150</v>
      </c>
      <c r="J735" s="164">
        <f t="shared" si="123"/>
        <v>0</v>
      </c>
    </row>
    <row r="736" spans="1:10" s="11" customFormat="1" ht="32.25">
      <c r="A736" s="79" t="s">
        <v>610</v>
      </c>
      <c r="B736" s="88" t="s">
        <v>611</v>
      </c>
      <c r="C736" s="84"/>
      <c r="D736" s="84"/>
      <c r="E736" s="86"/>
      <c r="F736" s="81"/>
      <c r="G736" s="163">
        <f>G737+G743</f>
        <v>150</v>
      </c>
      <c r="H736" s="163">
        <f>H737+H743</f>
        <v>0</v>
      </c>
      <c r="I736" s="163">
        <f t="shared" si="122"/>
        <v>150</v>
      </c>
      <c r="J736" s="164">
        <f t="shared" si="123"/>
        <v>0</v>
      </c>
    </row>
    <row r="737" spans="1:10" s="11" customFormat="1" ht="42.75">
      <c r="A737" s="115" t="s">
        <v>615</v>
      </c>
      <c r="B737" s="77" t="s">
        <v>612</v>
      </c>
      <c r="C737" s="84"/>
      <c r="D737" s="84"/>
      <c r="E737" s="86"/>
      <c r="F737" s="81"/>
      <c r="G737" s="163">
        <f t="shared" ref="G737:H741" si="127">G738</f>
        <v>142.5</v>
      </c>
      <c r="H737" s="163">
        <f t="shared" si="127"/>
        <v>0</v>
      </c>
      <c r="I737" s="163">
        <f t="shared" si="122"/>
        <v>142.5</v>
      </c>
      <c r="J737" s="164">
        <f t="shared" si="123"/>
        <v>0</v>
      </c>
    </row>
    <row r="738" spans="1:10" s="11" customFormat="1" ht="21">
      <c r="A738" s="89" t="s">
        <v>355</v>
      </c>
      <c r="B738" s="77" t="s">
        <v>612</v>
      </c>
      <c r="C738" s="80" t="s">
        <v>72</v>
      </c>
      <c r="D738" s="80" t="s">
        <v>33</v>
      </c>
      <c r="E738" s="88"/>
      <c r="F738" s="76"/>
      <c r="G738" s="163">
        <f t="shared" si="127"/>
        <v>142.5</v>
      </c>
      <c r="H738" s="163">
        <f t="shared" si="127"/>
        <v>0</v>
      </c>
      <c r="I738" s="163">
        <f t="shared" si="122"/>
        <v>142.5</v>
      </c>
      <c r="J738" s="164">
        <f t="shared" si="123"/>
        <v>0</v>
      </c>
    </row>
    <row r="739" spans="1:10" s="11" customFormat="1" ht="22.5">
      <c r="A739" s="85" t="s">
        <v>292</v>
      </c>
      <c r="B739" s="83" t="s">
        <v>612</v>
      </c>
      <c r="C739" s="84" t="s">
        <v>72</v>
      </c>
      <c r="D739" s="84" t="s">
        <v>68</v>
      </c>
      <c r="E739" s="86"/>
      <c r="F739" s="81"/>
      <c r="G739" s="166">
        <f t="shared" si="127"/>
        <v>142.5</v>
      </c>
      <c r="H739" s="166">
        <f t="shared" si="127"/>
        <v>0</v>
      </c>
      <c r="I739" s="166">
        <f t="shared" si="122"/>
        <v>142.5</v>
      </c>
      <c r="J739" s="165">
        <f t="shared" si="123"/>
        <v>0</v>
      </c>
    </row>
    <row r="740" spans="1:10" s="11" customFormat="1" ht="22.5">
      <c r="A740" s="85" t="s">
        <v>331</v>
      </c>
      <c r="B740" s="83" t="s">
        <v>612</v>
      </c>
      <c r="C740" s="84" t="s">
        <v>72</v>
      </c>
      <c r="D740" s="84" t="s">
        <v>68</v>
      </c>
      <c r="E740" s="86" t="s">
        <v>92</v>
      </c>
      <c r="F740" s="81"/>
      <c r="G740" s="166">
        <f t="shared" si="127"/>
        <v>142.5</v>
      </c>
      <c r="H740" s="166">
        <f t="shared" si="127"/>
        <v>0</v>
      </c>
      <c r="I740" s="166">
        <f t="shared" si="122"/>
        <v>142.5</v>
      </c>
      <c r="J740" s="165">
        <f t="shared" si="123"/>
        <v>0</v>
      </c>
    </row>
    <row r="741" spans="1:10" s="11" customFormat="1" ht="22.5">
      <c r="A741" s="85" t="s">
        <v>558</v>
      </c>
      <c r="B741" s="83" t="s">
        <v>612</v>
      </c>
      <c r="C741" s="84" t="s">
        <v>72</v>
      </c>
      <c r="D741" s="84" t="s">
        <v>68</v>
      </c>
      <c r="E741" s="86" t="s">
        <v>89</v>
      </c>
      <c r="F741" s="81"/>
      <c r="G741" s="166">
        <f t="shared" si="127"/>
        <v>142.5</v>
      </c>
      <c r="H741" s="166">
        <f t="shared" si="127"/>
        <v>0</v>
      </c>
      <c r="I741" s="166">
        <f t="shared" si="122"/>
        <v>142.5</v>
      </c>
      <c r="J741" s="165">
        <f t="shared" si="123"/>
        <v>0</v>
      </c>
    </row>
    <row r="742" spans="1:10" s="11" customFormat="1" ht="22.5">
      <c r="A742" s="85" t="s">
        <v>318</v>
      </c>
      <c r="B742" s="83" t="s">
        <v>612</v>
      </c>
      <c r="C742" s="84" t="s">
        <v>72</v>
      </c>
      <c r="D742" s="84" t="s">
        <v>68</v>
      </c>
      <c r="E742" s="86" t="s">
        <v>89</v>
      </c>
      <c r="F742" s="81">
        <v>727</v>
      </c>
      <c r="G742" s="166">
        <f>1425-1282.5</f>
        <v>142.5</v>
      </c>
      <c r="H742" s="166">
        <v>0</v>
      </c>
      <c r="I742" s="166">
        <f t="shared" si="122"/>
        <v>142.5</v>
      </c>
      <c r="J742" s="165">
        <f t="shared" si="123"/>
        <v>0</v>
      </c>
    </row>
    <row r="743" spans="1:10" s="11" customFormat="1" ht="42.75">
      <c r="A743" s="115" t="s">
        <v>609</v>
      </c>
      <c r="B743" s="77" t="s">
        <v>613</v>
      </c>
      <c r="C743" s="84"/>
      <c r="D743" s="84"/>
      <c r="E743" s="86"/>
      <c r="F743" s="81"/>
      <c r="G743" s="163">
        <f t="shared" ref="G743:H747" si="128">G744</f>
        <v>7.5</v>
      </c>
      <c r="H743" s="163">
        <f t="shared" si="128"/>
        <v>0</v>
      </c>
      <c r="I743" s="163">
        <f t="shared" si="122"/>
        <v>7.5</v>
      </c>
      <c r="J743" s="164">
        <f t="shared" si="123"/>
        <v>0</v>
      </c>
    </row>
    <row r="744" spans="1:10" s="11" customFormat="1" ht="21">
      <c r="A744" s="89" t="s">
        <v>355</v>
      </c>
      <c r="B744" s="77" t="s">
        <v>613</v>
      </c>
      <c r="C744" s="80" t="s">
        <v>72</v>
      </c>
      <c r="D744" s="80" t="s">
        <v>33</v>
      </c>
      <c r="E744" s="88"/>
      <c r="F744" s="76"/>
      <c r="G744" s="163">
        <f t="shared" si="128"/>
        <v>7.5</v>
      </c>
      <c r="H744" s="163">
        <f t="shared" si="128"/>
        <v>0</v>
      </c>
      <c r="I744" s="163">
        <f t="shared" si="122"/>
        <v>7.5</v>
      </c>
      <c r="J744" s="164">
        <f t="shared" si="123"/>
        <v>0</v>
      </c>
    </row>
    <row r="745" spans="1:10" s="11" customFormat="1" ht="22.5">
      <c r="A745" s="85" t="s">
        <v>292</v>
      </c>
      <c r="B745" s="83" t="s">
        <v>613</v>
      </c>
      <c r="C745" s="84" t="s">
        <v>72</v>
      </c>
      <c r="D745" s="84" t="s">
        <v>68</v>
      </c>
      <c r="E745" s="86"/>
      <c r="F745" s="81"/>
      <c r="G745" s="166">
        <f t="shared" si="128"/>
        <v>7.5</v>
      </c>
      <c r="H745" s="166">
        <f t="shared" si="128"/>
        <v>0</v>
      </c>
      <c r="I745" s="166">
        <f t="shared" si="122"/>
        <v>7.5</v>
      </c>
      <c r="J745" s="165">
        <f t="shared" si="123"/>
        <v>0</v>
      </c>
    </row>
    <row r="746" spans="1:10" s="11" customFormat="1" ht="22.5">
      <c r="A746" s="85" t="s">
        <v>331</v>
      </c>
      <c r="B746" s="83" t="s">
        <v>613</v>
      </c>
      <c r="C746" s="84" t="s">
        <v>72</v>
      </c>
      <c r="D746" s="84" t="s">
        <v>68</v>
      </c>
      <c r="E746" s="86" t="s">
        <v>92</v>
      </c>
      <c r="F746" s="81"/>
      <c r="G746" s="166">
        <f t="shared" si="128"/>
        <v>7.5</v>
      </c>
      <c r="H746" s="166">
        <f t="shared" si="128"/>
        <v>0</v>
      </c>
      <c r="I746" s="166">
        <f t="shared" si="122"/>
        <v>7.5</v>
      </c>
      <c r="J746" s="165">
        <f t="shared" si="123"/>
        <v>0</v>
      </c>
    </row>
    <row r="747" spans="1:10" s="11" customFormat="1" ht="22.5">
      <c r="A747" s="85" t="s">
        <v>558</v>
      </c>
      <c r="B747" s="83" t="s">
        <v>613</v>
      </c>
      <c r="C747" s="84" t="s">
        <v>72</v>
      </c>
      <c r="D747" s="84" t="s">
        <v>68</v>
      </c>
      <c r="E747" s="86" t="s">
        <v>89</v>
      </c>
      <c r="F747" s="81"/>
      <c r="G747" s="166">
        <f t="shared" si="128"/>
        <v>7.5</v>
      </c>
      <c r="H747" s="166">
        <f t="shared" si="128"/>
        <v>0</v>
      </c>
      <c r="I747" s="166">
        <f t="shared" si="122"/>
        <v>7.5</v>
      </c>
      <c r="J747" s="165">
        <f t="shared" si="123"/>
        <v>0</v>
      </c>
    </row>
    <row r="748" spans="1:10" s="11" customFormat="1" ht="22.5">
      <c r="A748" s="85" t="s">
        <v>318</v>
      </c>
      <c r="B748" s="83" t="s">
        <v>613</v>
      </c>
      <c r="C748" s="84" t="s">
        <v>72</v>
      </c>
      <c r="D748" s="84" t="s">
        <v>68</v>
      </c>
      <c r="E748" s="86" t="s">
        <v>89</v>
      </c>
      <c r="F748" s="81">
        <v>727</v>
      </c>
      <c r="G748" s="166">
        <f>75-67.5</f>
        <v>7.5</v>
      </c>
      <c r="H748" s="166">
        <v>0</v>
      </c>
      <c r="I748" s="166">
        <f t="shared" si="122"/>
        <v>7.5</v>
      </c>
      <c r="J748" s="165">
        <f t="shared" si="123"/>
        <v>0</v>
      </c>
    </row>
    <row r="749" spans="1:10" s="11" customFormat="1" ht="21.75">
      <c r="A749" s="89" t="s">
        <v>685</v>
      </c>
      <c r="B749" s="77" t="s">
        <v>327</v>
      </c>
      <c r="C749" s="84"/>
      <c r="D749" s="84"/>
      <c r="E749" s="86"/>
      <c r="F749" s="81"/>
      <c r="G749" s="163">
        <f t="shared" ref="G749:H755" si="129">G750</f>
        <v>142</v>
      </c>
      <c r="H749" s="163">
        <f t="shared" si="129"/>
        <v>142</v>
      </c>
      <c r="I749" s="163">
        <f t="shared" si="122"/>
        <v>0</v>
      </c>
      <c r="J749" s="164">
        <f t="shared" si="123"/>
        <v>100</v>
      </c>
    </row>
    <row r="750" spans="1:10" s="11" customFormat="1" ht="21">
      <c r="A750" s="90" t="s">
        <v>198</v>
      </c>
      <c r="B750" s="77" t="s">
        <v>328</v>
      </c>
      <c r="C750" s="80"/>
      <c r="D750" s="80"/>
      <c r="E750" s="88"/>
      <c r="F750" s="76"/>
      <c r="G750" s="163">
        <f t="shared" si="129"/>
        <v>142</v>
      </c>
      <c r="H750" s="163">
        <f t="shared" si="129"/>
        <v>142</v>
      </c>
      <c r="I750" s="163">
        <f t="shared" si="122"/>
        <v>0</v>
      </c>
      <c r="J750" s="164">
        <f t="shared" si="123"/>
        <v>100</v>
      </c>
    </row>
    <row r="751" spans="1:10" s="11" customFormat="1" ht="22.5">
      <c r="A751" s="85" t="s">
        <v>569</v>
      </c>
      <c r="B751" s="77" t="s">
        <v>568</v>
      </c>
      <c r="C751" s="80"/>
      <c r="D751" s="80"/>
      <c r="E751" s="88"/>
      <c r="F751" s="76"/>
      <c r="G751" s="163">
        <f t="shared" si="129"/>
        <v>142</v>
      </c>
      <c r="H751" s="163">
        <f t="shared" si="129"/>
        <v>142</v>
      </c>
      <c r="I751" s="163">
        <f t="shared" si="122"/>
        <v>0</v>
      </c>
      <c r="J751" s="164">
        <f t="shared" si="123"/>
        <v>100</v>
      </c>
    </row>
    <row r="752" spans="1:10" s="11" customFormat="1">
      <c r="A752" s="90" t="s">
        <v>126</v>
      </c>
      <c r="B752" s="77" t="s">
        <v>568</v>
      </c>
      <c r="C752" s="80" t="s">
        <v>68</v>
      </c>
      <c r="D752" s="80" t="s">
        <v>33</v>
      </c>
      <c r="E752" s="88"/>
      <c r="F752" s="76"/>
      <c r="G752" s="163">
        <f t="shared" si="129"/>
        <v>142</v>
      </c>
      <c r="H752" s="163">
        <f t="shared" si="129"/>
        <v>142</v>
      </c>
      <c r="I752" s="163">
        <f t="shared" si="122"/>
        <v>0</v>
      </c>
      <c r="J752" s="164">
        <f t="shared" si="123"/>
        <v>100</v>
      </c>
    </row>
    <row r="753" spans="1:12" s="11" customFormat="1">
      <c r="A753" s="87" t="s">
        <v>172</v>
      </c>
      <c r="B753" s="83" t="s">
        <v>568</v>
      </c>
      <c r="C753" s="84" t="s">
        <v>68</v>
      </c>
      <c r="D753" s="84" t="s">
        <v>66</v>
      </c>
      <c r="E753" s="86"/>
      <c r="F753" s="81"/>
      <c r="G753" s="166">
        <f t="shared" si="129"/>
        <v>142</v>
      </c>
      <c r="H753" s="166">
        <f t="shared" si="129"/>
        <v>142</v>
      </c>
      <c r="I753" s="166">
        <f t="shared" si="122"/>
        <v>0</v>
      </c>
      <c r="J753" s="165">
        <f t="shared" si="123"/>
        <v>100</v>
      </c>
    </row>
    <row r="754" spans="1:12" s="11" customFormat="1" ht="22.5">
      <c r="A754" s="85" t="s">
        <v>331</v>
      </c>
      <c r="B754" s="83" t="s">
        <v>568</v>
      </c>
      <c r="C754" s="84" t="s">
        <v>68</v>
      </c>
      <c r="D754" s="84" t="s">
        <v>66</v>
      </c>
      <c r="E754" s="86" t="s">
        <v>92</v>
      </c>
      <c r="F754" s="81"/>
      <c r="G754" s="166">
        <f t="shared" si="129"/>
        <v>142</v>
      </c>
      <c r="H754" s="166">
        <f t="shared" si="129"/>
        <v>142</v>
      </c>
      <c r="I754" s="166">
        <f t="shared" si="122"/>
        <v>0</v>
      </c>
      <c r="J754" s="165">
        <f t="shared" si="123"/>
        <v>100</v>
      </c>
    </row>
    <row r="755" spans="1:12" s="11" customFormat="1" ht="25.15" customHeight="1">
      <c r="A755" s="85" t="s">
        <v>558</v>
      </c>
      <c r="B755" s="83" t="s">
        <v>568</v>
      </c>
      <c r="C755" s="84" t="s">
        <v>68</v>
      </c>
      <c r="D755" s="84" t="s">
        <v>66</v>
      </c>
      <c r="E755" s="86" t="s">
        <v>89</v>
      </c>
      <c r="F755" s="81"/>
      <c r="G755" s="166">
        <f t="shared" si="129"/>
        <v>142</v>
      </c>
      <c r="H755" s="166">
        <f t="shared" si="129"/>
        <v>142</v>
      </c>
      <c r="I755" s="166">
        <f t="shared" si="122"/>
        <v>0</v>
      </c>
      <c r="J755" s="165">
        <f t="shared" si="123"/>
        <v>100</v>
      </c>
    </row>
    <row r="756" spans="1:12" s="11" customFormat="1" ht="22.5">
      <c r="A756" s="85" t="s">
        <v>318</v>
      </c>
      <c r="B756" s="83" t="s">
        <v>568</v>
      </c>
      <c r="C756" s="84" t="s">
        <v>68</v>
      </c>
      <c r="D756" s="84" t="s">
        <v>66</v>
      </c>
      <c r="E756" s="86" t="s">
        <v>89</v>
      </c>
      <c r="F756" s="81">
        <v>727</v>
      </c>
      <c r="G756" s="166">
        <v>142</v>
      </c>
      <c r="H756" s="166">
        <v>142</v>
      </c>
      <c r="I756" s="166">
        <f t="shared" si="122"/>
        <v>0</v>
      </c>
      <c r="J756" s="165">
        <f t="shared" si="123"/>
        <v>100</v>
      </c>
    </row>
    <row r="757" spans="1:12">
      <c r="A757" s="79" t="s">
        <v>73</v>
      </c>
      <c r="B757" s="76"/>
      <c r="C757" s="76"/>
      <c r="D757" s="76"/>
      <c r="E757" s="88"/>
      <c r="F757" s="76"/>
      <c r="G757" s="163">
        <f>G17+G45+G69+G101+G118+G162+G170+G178+G186+G207+G240+G257+G384+G522+G556+G576+G590+G632+G640+G654+G693+G707+G727+G735+G749+G584+G9</f>
        <v>313278.7</v>
      </c>
      <c r="H757" s="163">
        <f>H17+H45+H69+H101+H118+H162+H170+H178+H186+H207+H240+H257+H384+H522+H556+H576+H590+H632+H640+H654+H693+H707+H727+H735+H749+H584+H9</f>
        <v>310307.7</v>
      </c>
      <c r="I757" s="163">
        <f t="shared" si="122"/>
        <v>2971</v>
      </c>
      <c r="J757" s="164">
        <f t="shared" si="123"/>
        <v>99.051643153524324</v>
      </c>
      <c r="K757" s="168"/>
      <c r="L757" s="168"/>
    </row>
    <row r="758" spans="1:12">
      <c r="A758" s="95"/>
      <c r="B758" s="96"/>
      <c r="C758" s="96"/>
      <c r="D758" s="96"/>
      <c r="E758" s="123"/>
      <c r="F758" s="96"/>
      <c r="G758" s="169"/>
      <c r="H758" s="168"/>
    </row>
    <row r="759" spans="1:12">
      <c r="H759" s="168"/>
      <c r="I759" s="168"/>
    </row>
    <row r="760" spans="1:12">
      <c r="H760" s="168"/>
    </row>
  </sheetData>
  <autoFilter ref="A8:L759"/>
  <mergeCells count="5">
    <mergeCell ref="A5:J5"/>
    <mergeCell ref="A1:J1"/>
    <mergeCell ref="A2:J2"/>
    <mergeCell ref="A3:J3"/>
    <mergeCell ref="A4:J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G35"/>
  <sheetViews>
    <sheetView view="pageBreakPreview" zoomScale="110" zoomScaleSheetLayoutView="110" workbookViewId="0">
      <selection activeCell="I17" sqref="I17"/>
    </sheetView>
  </sheetViews>
  <sheetFormatPr defaultColWidth="9.140625" defaultRowHeight="12.75"/>
  <cols>
    <col min="1" max="1" width="20.28515625" style="5" customWidth="1"/>
    <col min="2" max="2" width="51.85546875" style="5" bestFit="1" customWidth="1"/>
    <col min="3" max="3" width="9.5703125" style="5" bestFit="1" customWidth="1"/>
    <col min="4" max="4" width="9" style="5" customWidth="1"/>
    <col min="5" max="5" width="9.140625" style="5"/>
    <col min="6" max="6" width="9.7109375" style="5" bestFit="1" customWidth="1"/>
    <col min="7" max="7" width="9.85546875" style="5" bestFit="1" customWidth="1"/>
    <col min="8" max="16384" width="9.140625" style="5"/>
  </cols>
  <sheetData>
    <row r="1" spans="1:7" s="26" customFormat="1">
      <c r="A1" s="309" t="s">
        <v>572</v>
      </c>
      <c r="B1" s="309"/>
      <c r="C1" s="309"/>
      <c r="D1" s="299"/>
      <c r="E1" s="299"/>
      <c r="F1" s="299"/>
    </row>
    <row r="2" spans="1:7" ht="13.15" customHeight="1">
      <c r="A2" s="309" t="str">
        <f>'пр2 по разд'!A2:D2</f>
        <v>к решению Собрания представителей Сусуманского городского округа</v>
      </c>
      <c r="B2" s="309"/>
      <c r="C2" s="309"/>
      <c r="D2" s="299"/>
      <c r="E2" s="299"/>
      <c r="F2" s="299"/>
    </row>
    <row r="3" spans="1:7" ht="13.15" customHeight="1">
      <c r="A3" s="309" t="str">
        <f>'МП пр.5'!A3:G3</f>
        <v>"Об исполнении бюджета муниципального образования "Сусуманский городской округ" за 2019 год"</v>
      </c>
      <c r="B3" s="309"/>
      <c r="C3" s="309"/>
      <c r="D3" s="299"/>
      <c r="E3" s="299"/>
      <c r="F3" s="299"/>
    </row>
    <row r="4" spans="1:7">
      <c r="A4" s="295" t="s">
        <v>775</v>
      </c>
      <c r="B4" s="310"/>
      <c r="C4" s="310"/>
      <c r="D4" s="310"/>
      <c r="E4" s="310"/>
      <c r="F4" s="310"/>
    </row>
    <row r="5" spans="1:7" ht="28.9" customHeight="1">
      <c r="A5" s="304" t="s">
        <v>707</v>
      </c>
      <c r="B5" s="304"/>
      <c r="C5" s="304"/>
      <c r="D5" s="303"/>
      <c r="E5" s="303"/>
      <c r="F5" s="303"/>
    </row>
    <row r="6" spans="1:7">
      <c r="A6" s="11"/>
      <c r="B6" s="11"/>
      <c r="C6" s="11"/>
      <c r="F6" s="11" t="s">
        <v>1</v>
      </c>
    </row>
    <row r="7" spans="1:7" s="204" customFormat="1" ht="21.75">
      <c r="A7" s="78" t="s">
        <v>28</v>
      </c>
      <c r="B7" s="78" t="s">
        <v>29</v>
      </c>
      <c r="C7" s="77" t="str">
        <f>'пр.4 вед.стр.'!G7</f>
        <v>Сумма</v>
      </c>
      <c r="D7" s="176" t="s">
        <v>697</v>
      </c>
      <c r="E7" s="176" t="s">
        <v>698</v>
      </c>
      <c r="F7" s="191" t="s">
        <v>699</v>
      </c>
    </row>
    <row r="8" spans="1:7">
      <c r="A8" s="24">
        <v>1</v>
      </c>
      <c r="B8" s="24">
        <v>2</v>
      </c>
      <c r="C8" s="24">
        <v>3</v>
      </c>
      <c r="D8" s="193">
        <v>4</v>
      </c>
      <c r="E8" s="128">
        <v>5</v>
      </c>
      <c r="F8" s="128">
        <v>6</v>
      </c>
    </row>
    <row r="9" spans="1:7" ht="25.5">
      <c r="A9" s="57" t="s">
        <v>22</v>
      </c>
      <c r="B9" s="75" t="s">
        <v>49</v>
      </c>
      <c r="C9" s="17">
        <f>C10+C23+C15</f>
        <v>14026.999999999884</v>
      </c>
      <c r="D9" s="17">
        <f>D10+D23+D15</f>
        <v>16382.20000000007</v>
      </c>
      <c r="E9" s="194">
        <f>C9-D9</f>
        <v>-2355.2000000001863</v>
      </c>
      <c r="F9" s="195">
        <f>D9/C9*100</f>
        <v>116.79047551151498</v>
      </c>
      <c r="G9" s="129"/>
    </row>
    <row r="10" spans="1:7" ht="25.5">
      <c r="A10" s="41" t="s">
        <v>23</v>
      </c>
      <c r="B10" s="75" t="s">
        <v>48</v>
      </c>
      <c r="C10" s="17">
        <f>C11-C13</f>
        <v>0</v>
      </c>
      <c r="D10" s="17">
        <f>D11-D13</f>
        <v>0</v>
      </c>
      <c r="E10" s="196">
        <f>C10-D10</f>
        <v>0</v>
      </c>
      <c r="F10" s="197">
        <v>0</v>
      </c>
    </row>
    <row r="11" spans="1:7" ht="25.5">
      <c r="A11" s="41" t="s">
        <v>24</v>
      </c>
      <c r="B11" s="42" t="s">
        <v>50</v>
      </c>
      <c r="C11" s="18">
        <f>C12</f>
        <v>0</v>
      </c>
      <c r="D11" s="18">
        <f>D12</f>
        <v>0</v>
      </c>
      <c r="E11" s="196">
        <f>C11-D11</f>
        <v>0</v>
      </c>
      <c r="F11" s="197">
        <v>0</v>
      </c>
    </row>
    <row r="12" spans="1:7" ht="25.5">
      <c r="A12" s="43" t="s">
        <v>208</v>
      </c>
      <c r="B12" s="28" t="s">
        <v>209</v>
      </c>
      <c r="C12" s="18">
        <v>0</v>
      </c>
      <c r="D12" s="18">
        <v>0</v>
      </c>
      <c r="E12" s="196">
        <f>C12-D12</f>
        <v>0</v>
      </c>
      <c r="F12" s="197">
        <v>0</v>
      </c>
    </row>
    <row r="13" spans="1:7" ht="25.5">
      <c r="A13" s="41" t="s">
        <v>25</v>
      </c>
      <c r="B13" s="42" t="s">
        <v>45</v>
      </c>
      <c r="C13" s="18">
        <f>C14</f>
        <v>0</v>
      </c>
      <c r="D13" s="18">
        <f>D14</f>
        <v>0</v>
      </c>
      <c r="E13" s="196">
        <f t="shared" ref="E13:E31" si="0">C13-D13</f>
        <v>0</v>
      </c>
      <c r="F13" s="197">
        <v>0</v>
      </c>
    </row>
    <row r="14" spans="1:7" ht="25.5">
      <c r="A14" s="43" t="s">
        <v>210</v>
      </c>
      <c r="B14" s="28" t="s">
        <v>211</v>
      </c>
      <c r="C14" s="18">
        <v>0</v>
      </c>
      <c r="D14" s="18">
        <v>0</v>
      </c>
      <c r="E14" s="196">
        <f t="shared" si="0"/>
        <v>0</v>
      </c>
      <c r="F14" s="197">
        <v>0</v>
      </c>
    </row>
    <row r="15" spans="1:7" ht="25.5">
      <c r="A15" s="57" t="s">
        <v>26</v>
      </c>
      <c r="B15" s="75" t="s">
        <v>86</v>
      </c>
      <c r="C15" s="17">
        <f>C17+C20</f>
        <v>0</v>
      </c>
      <c r="D15" s="198">
        <f>D17+D20</f>
        <v>0</v>
      </c>
      <c r="E15" s="196">
        <f t="shared" si="0"/>
        <v>0</v>
      </c>
      <c r="F15" s="195">
        <v>0</v>
      </c>
    </row>
    <row r="16" spans="1:7" ht="25.5">
      <c r="A16" s="41" t="s">
        <v>224</v>
      </c>
      <c r="B16" s="44" t="s">
        <v>225</v>
      </c>
      <c r="C16" s="17">
        <f>C17+C20</f>
        <v>0</v>
      </c>
      <c r="D16" s="198">
        <f>D17+D20</f>
        <v>0</v>
      </c>
      <c r="E16" s="196">
        <f t="shared" si="0"/>
        <v>0</v>
      </c>
      <c r="F16" s="195">
        <v>0</v>
      </c>
    </row>
    <row r="17" spans="1:6" ht="38.25">
      <c r="A17" s="41" t="s">
        <v>118</v>
      </c>
      <c r="B17" s="42" t="s">
        <v>51</v>
      </c>
      <c r="C17" s="18">
        <f>C18</f>
        <v>0</v>
      </c>
      <c r="D17" s="199">
        <f>D18</f>
        <v>0</v>
      </c>
      <c r="E17" s="196">
        <f t="shared" si="0"/>
        <v>0</v>
      </c>
      <c r="F17" s="197">
        <v>0</v>
      </c>
    </row>
    <row r="18" spans="1:6" ht="38.25">
      <c r="A18" s="43" t="s">
        <v>214</v>
      </c>
      <c r="B18" s="42" t="s">
        <v>215</v>
      </c>
      <c r="C18" s="18">
        <f>C19</f>
        <v>0</v>
      </c>
      <c r="D18" s="199">
        <f>D19</f>
        <v>0</v>
      </c>
      <c r="E18" s="196">
        <f t="shared" si="0"/>
        <v>0</v>
      </c>
      <c r="F18" s="197">
        <v>0</v>
      </c>
    </row>
    <row r="19" spans="1:6" ht="63.75">
      <c r="A19" s="43" t="s">
        <v>212</v>
      </c>
      <c r="B19" s="42" t="s">
        <v>213</v>
      </c>
      <c r="C19" s="18">
        <v>0</v>
      </c>
      <c r="D19" s="199">
        <v>0</v>
      </c>
      <c r="E19" s="196">
        <f t="shared" si="0"/>
        <v>0</v>
      </c>
      <c r="F19" s="197">
        <v>0</v>
      </c>
    </row>
    <row r="20" spans="1:6" ht="38.25">
      <c r="A20" s="41" t="s">
        <v>117</v>
      </c>
      <c r="B20" s="42" t="s">
        <v>52</v>
      </c>
      <c r="C20" s="18">
        <f>C21</f>
        <v>0</v>
      </c>
      <c r="D20" s="199">
        <f>D21</f>
        <v>0</v>
      </c>
      <c r="E20" s="196">
        <f t="shared" si="0"/>
        <v>0</v>
      </c>
      <c r="F20" s="197">
        <v>0</v>
      </c>
    </row>
    <row r="21" spans="1:6" ht="38.25">
      <c r="A21" s="43" t="s">
        <v>219</v>
      </c>
      <c r="B21" s="42" t="s">
        <v>218</v>
      </c>
      <c r="C21" s="18">
        <f>C22</f>
        <v>0</v>
      </c>
      <c r="D21" s="199">
        <f>D22</f>
        <v>0</v>
      </c>
      <c r="E21" s="196">
        <f t="shared" si="0"/>
        <v>0</v>
      </c>
      <c r="F21" s="197">
        <v>0</v>
      </c>
    </row>
    <row r="22" spans="1:6" ht="63.75">
      <c r="A22" s="43" t="s">
        <v>216</v>
      </c>
      <c r="B22" s="42" t="s">
        <v>217</v>
      </c>
      <c r="C22" s="18">
        <v>0</v>
      </c>
      <c r="D22" s="18">
        <v>0</v>
      </c>
      <c r="E22" s="196">
        <v>0</v>
      </c>
      <c r="F22" s="197">
        <v>0</v>
      </c>
    </row>
    <row r="23" spans="1:6" ht="25.5">
      <c r="A23" s="57" t="s">
        <v>34</v>
      </c>
      <c r="B23" s="75" t="s">
        <v>53</v>
      </c>
      <c r="C23" s="17">
        <f>C28+C24</f>
        <v>14026.999999999884</v>
      </c>
      <c r="D23" s="17">
        <f>D28+D24</f>
        <v>16382.20000000007</v>
      </c>
      <c r="E23" s="194">
        <f t="shared" si="0"/>
        <v>-2355.2000000001863</v>
      </c>
      <c r="F23" s="195">
        <f t="shared" ref="F23:F31" si="1">D23/C23*100</f>
        <v>116.79047551151498</v>
      </c>
    </row>
    <row r="24" spans="1:6">
      <c r="A24" s="41" t="s">
        <v>35</v>
      </c>
      <c r="B24" s="42" t="s">
        <v>13</v>
      </c>
      <c r="C24" s="18">
        <f>C25</f>
        <v>-762821.9</v>
      </c>
      <c r="D24" s="18">
        <f t="shared" ref="D24:D26" si="2">D25</f>
        <v>-785575.2</v>
      </c>
      <c r="E24" s="196">
        <f t="shared" si="0"/>
        <v>22753.29999999993</v>
      </c>
      <c r="F24" s="197">
        <f t="shared" si="1"/>
        <v>102.98278012207042</v>
      </c>
    </row>
    <row r="25" spans="1:6">
      <c r="A25" s="41" t="s">
        <v>36</v>
      </c>
      <c r="B25" s="42" t="s">
        <v>20</v>
      </c>
      <c r="C25" s="18">
        <f>C26</f>
        <v>-762821.9</v>
      </c>
      <c r="D25" s="18">
        <f t="shared" si="2"/>
        <v>-785575.2</v>
      </c>
      <c r="E25" s="196">
        <f t="shared" si="0"/>
        <v>22753.29999999993</v>
      </c>
      <c r="F25" s="197">
        <f t="shared" si="1"/>
        <v>102.98278012207042</v>
      </c>
    </row>
    <row r="26" spans="1:6">
      <c r="A26" s="41" t="s">
        <v>37</v>
      </c>
      <c r="B26" s="42" t="s">
        <v>21</v>
      </c>
      <c r="C26" s="18">
        <f>C27</f>
        <v>-762821.9</v>
      </c>
      <c r="D26" s="18">
        <f t="shared" si="2"/>
        <v>-785575.2</v>
      </c>
      <c r="E26" s="196">
        <f t="shared" si="0"/>
        <v>22753.29999999993</v>
      </c>
      <c r="F26" s="197">
        <f t="shared" si="1"/>
        <v>102.98278012207042</v>
      </c>
    </row>
    <row r="27" spans="1:6" ht="25.5">
      <c r="A27" s="43" t="s">
        <v>220</v>
      </c>
      <c r="B27" s="28" t="s">
        <v>221</v>
      </c>
      <c r="C27" s="18">
        <v>-762821.9</v>
      </c>
      <c r="D27" s="18">
        <v>-785575.2</v>
      </c>
      <c r="E27" s="196">
        <f t="shared" si="0"/>
        <v>22753.29999999993</v>
      </c>
      <c r="F27" s="197">
        <f t="shared" si="1"/>
        <v>102.98278012207042</v>
      </c>
    </row>
    <row r="28" spans="1:6">
      <c r="A28" s="41" t="s">
        <v>38</v>
      </c>
      <c r="B28" s="42" t="s">
        <v>30</v>
      </c>
      <c r="C28" s="18">
        <f>C29</f>
        <v>776848.89999999991</v>
      </c>
      <c r="D28" s="18">
        <f t="shared" ref="D28:D30" si="3">D29</f>
        <v>801957.4</v>
      </c>
      <c r="E28" s="196">
        <f t="shared" si="0"/>
        <v>-25108.500000000116</v>
      </c>
      <c r="F28" s="197">
        <f t="shared" si="1"/>
        <v>103.23209571385119</v>
      </c>
    </row>
    <row r="29" spans="1:6">
      <c r="A29" s="41" t="s">
        <v>39</v>
      </c>
      <c r="B29" s="42" t="s">
        <v>31</v>
      </c>
      <c r="C29" s="18">
        <f>C30</f>
        <v>776848.89999999991</v>
      </c>
      <c r="D29" s="18">
        <f t="shared" si="3"/>
        <v>801957.4</v>
      </c>
      <c r="E29" s="196">
        <f t="shared" si="0"/>
        <v>-25108.500000000116</v>
      </c>
      <c r="F29" s="197">
        <f t="shared" si="1"/>
        <v>103.23209571385119</v>
      </c>
    </row>
    <row r="30" spans="1:6">
      <c r="A30" s="41" t="s">
        <v>119</v>
      </c>
      <c r="B30" s="42" t="s">
        <v>32</v>
      </c>
      <c r="C30" s="18">
        <f>C31</f>
        <v>776848.89999999991</v>
      </c>
      <c r="D30" s="18">
        <f t="shared" si="3"/>
        <v>801957.4</v>
      </c>
      <c r="E30" s="196">
        <f t="shared" si="0"/>
        <v>-25108.500000000116</v>
      </c>
      <c r="F30" s="197">
        <f t="shared" si="1"/>
        <v>103.23209571385119</v>
      </c>
    </row>
    <row r="31" spans="1:6" ht="25.5">
      <c r="A31" s="43" t="s">
        <v>222</v>
      </c>
      <c r="B31" s="16" t="s">
        <v>223</v>
      </c>
      <c r="C31" s="18">
        <f>'пр2 по разд'!D49-C14-C20</f>
        <v>776848.89999999991</v>
      </c>
      <c r="D31" s="18">
        <v>801957.4</v>
      </c>
      <c r="E31" s="196">
        <f t="shared" si="0"/>
        <v>-25108.500000000116</v>
      </c>
      <c r="F31" s="197">
        <f t="shared" si="1"/>
        <v>103.23209571385119</v>
      </c>
    </row>
    <row r="32" spans="1:6" s="25" customFormat="1"/>
    <row r="33" s="25" customFormat="1"/>
    <row r="34" s="25" customFormat="1"/>
    <row r="35" s="25" customFormat="1"/>
  </sheetData>
  <mergeCells count="5">
    <mergeCell ref="A1:F1"/>
    <mergeCell ref="A2:F2"/>
    <mergeCell ref="A3:F3"/>
    <mergeCell ref="A4:F4"/>
    <mergeCell ref="A5:F5"/>
  </mergeCells>
  <phoneticPr fontId="0" type="noConversion"/>
  <pageMargins left="0.78740157480314965" right="0.39370078740157483" top="0.43307086614173229" bottom="0.51181102362204722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view="pageBreakPreview" zoomScale="75" zoomScaleSheetLayoutView="75" workbookViewId="0">
      <selection activeCell="L13" sqref="L13"/>
    </sheetView>
  </sheetViews>
  <sheetFormatPr defaultRowHeight="12.75"/>
  <cols>
    <col min="1" max="1" width="56.42578125" customWidth="1"/>
    <col min="2" max="2" width="10" customWidth="1"/>
    <col min="3" max="3" width="10.5703125" customWidth="1"/>
    <col min="257" max="257" width="56.42578125" customWidth="1"/>
    <col min="258" max="258" width="10" customWidth="1"/>
    <col min="259" max="259" width="10.5703125" customWidth="1"/>
    <col min="513" max="513" width="56.42578125" customWidth="1"/>
    <col min="514" max="514" width="10" customWidth="1"/>
    <col min="515" max="515" width="10.5703125" customWidth="1"/>
    <col min="769" max="769" width="56.42578125" customWidth="1"/>
    <col min="770" max="770" width="10" customWidth="1"/>
    <col min="771" max="771" width="10.5703125" customWidth="1"/>
    <col min="1025" max="1025" width="56.42578125" customWidth="1"/>
    <col min="1026" max="1026" width="10" customWidth="1"/>
    <col min="1027" max="1027" width="10.5703125" customWidth="1"/>
    <col min="1281" max="1281" width="56.42578125" customWidth="1"/>
    <col min="1282" max="1282" width="10" customWidth="1"/>
    <col min="1283" max="1283" width="10.5703125" customWidth="1"/>
    <col min="1537" max="1537" width="56.42578125" customWidth="1"/>
    <col min="1538" max="1538" width="10" customWidth="1"/>
    <col min="1539" max="1539" width="10.5703125" customWidth="1"/>
    <col min="1793" max="1793" width="56.42578125" customWidth="1"/>
    <col min="1794" max="1794" width="10" customWidth="1"/>
    <col min="1795" max="1795" width="10.5703125" customWidth="1"/>
    <col min="2049" max="2049" width="56.42578125" customWidth="1"/>
    <col min="2050" max="2050" width="10" customWidth="1"/>
    <col min="2051" max="2051" width="10.5703125" customWidth="1"/>
    <col min="2305" max="2305" width="56.42578125" customWidth="1"/>
    <col min="2306" max="2306" width="10" customWidth="1"/>
    <col min="2307" max="2307" width="10.5703125" customWidth="1"/>
    <col min="2561" max="2561" width="56.42578125" customWidth="1"/>
    <col min="2562" max="2562" width="10" customWidth="1"/>
    <col min="2563" max="2563" width="10.5703125" customWidth="1"/>
    <col min="2817" max="2817" width="56.42578125" customWidth="1"/>
    <col min="2818" max="2818" width="10" customWidth="1"/>
    <col min="2819" max="2819" width="10.5703125" customWidth="1"/>
    <col min="3073" max="3073" width="56.42578125" customWidth="1"/>
    <col min="3074" max="3074" width="10" customWidth="1"/>
    <col min="3075" max="3075" width="10.5703125" customWidth="1"/>
    <col min="3329" max="3329" width="56.42578125" customWidth="1"/>
    <col min="3330" max="3330" width="10" customWidth="1"/>
    <col min="3331" max="3331" width="10.5703125" customWidth="1"/>
    <col min="3585" max="3585" width="56.42578125" customWidth="1"/>
    <col min="3586" max="3586" width="10" customWidth="1"/>
    <col min="3587" max="3587" width="10.5703125" customWidth="1"/>
    <col min="3841" max="3841" width="56.42578125" customWidth="1"/>
    <col min="3842" max="3842" width="10" customWidth="1"/>
    <col min="3843" max="3843" width="10.5703125" customWidth="1"/>
    <col min="4097" max="4097" width="56.42578125" customWidth="1"/>
    <col min="4098" max="4098" width="10" customWidth="1"/>
    <col min="4099" max="4099" width="10.5703125" customWidth="1"/>
    <col min="4353" max="4353" width="56.42578125" customWidth="1"/>
    <col min="4354" max="4354" width="10" customWidth="1"/>
    <col min="4355" max="4355" width="10.5703125" customWidth="1"/>
    <col min="4609" max="4609" width="56.42578125" customWidth="1"/>
    <col min="4610" max="4610" width="10" customWidth="1"/>
    <col min="4611" max="4611" width="10.5703125" customWidth="1"/>
    <col min="4865" max="4865" width="56.42578125" customWidth="1"/>
    <col min="4866" max="4866" width="10" customWidth="1"/>
    <col min="4867" max="4867" width="10.5703125" customWidth="1"/>
    <col min="5121" max="5121" width="56.42578125" customWidth="1"/>
    <col min="5122" max="5122" width="10" customWidth="1"/>
    <col min="5123" max="5123" width="10.5703125" customWidth="1"/>
    <col min="5377" max="5377" width="56.42578125" customWidth="1"/>
    <col min="5378" max="5378" width="10" customWidth="1"/>
    <col min="5379" max="5379" width="10.5703125" customWidth="1"/>
    <col min="5633" max="5633" width="56.42578125" customWidth="1"/>
    <col min="5634" max="5634" width="10" customWidth="1"/>
    <col min="5635" max="5635" width="10.5703125" customWidth="1"/>
    <col min="5889" max="5889" width="56.42578125" customWidth="1"/>
    <col min="5890" max="5890" width="10" customWidth="1"/>
    <col min="5891" max="5891" width="10.5703125" customWidth="1"/>
    <col min="6145" max="6145" width="56.42578125" customWidth="1"/>
    <col min="6146" max="6146" width="10" customWidth="1"/>
    <col min="6147" max="6147" width="10.5703125" customWidth="1"/>
    <col min="6401" max="6401" width="56.42578125" customWidth="1"/>
    <col min="6402" max="6402" width="10" customWidth="1"/>
    <col min="6403" max="6403" width="10.5703125" customWidth="1"/>
    <col min="6657" max="6657" width="56.42578125" customWidth="1"/>
    <col min="6658" max="6658" width="10" customWidth="1"/>
    <col min="6659" max="6659" width="10.5703125" customWidth="1"/>
    <col min="6913" max="6913" width="56.42578125" customWidth="1"/>
    <col min="6914" max="6914" width="10" customWidth="1"/>
    <col min="6915" max="6915" width="10.5703125" customWidth="1"/>
    <col min="7169" max="7169" width="56.42578125" customWidth="1"/>
    <col min="7170" max="7170" width="10" customWidth="1"/>
    <col min="7171" max="7171" width="10.5703125" customWidth="1"/>
    <col min="7425" max="7425" width="56.42578125" customWidth="1"/>
    <col min="7426" max="7426" width="10" customWidth="1"/>
    <col min="7427" max="7427" width="10.5703125" customWidth="1"/>
    <col min="7681" max="7681" width="56.42578125" customWidth="1"/>
    <col min="7682" max="7682" width="10" customWidth="1"/>
    <col min="7683" max="7683" width="10.5703125" customWidth="1"/>
    <col min="7937" max="7937" width="56.42578125" customWidth="1"/>
    <col min="7938" max="7938" width="10" customWidth="1"/>
    <col min="7939" max="7939" width="10.5703125" customWidth="1"/>
    <col min="8193" max="8193" width="56.42578125" customWidth="1"/>
    <col min="8194" max="8194" width="10" customWidth="1"/>
    <col min="8195" max="8195" width="10.5703125" customWidth="1"/>
    <col min="8449" max="8449" width="56.42578125" customWidth="1"/>
    <col min="8450" max="8450" width="10" customWidth="1"/>
    <col min="8451" max="8451" width="10.5703125" customWidth="1"/>
    <col min="8705" max="8705" width="56.42578125" customWidth="1"/>
    <col min="8706" max="8706" width="10" customWidth="1"/>
    <col min="8707" max="8707" width="10.5703125" customWidth="1"/>
    <col min="8961" max="8961" width="56.42578125" customWidth="1"/>
    <col min="8962" max="8962" width="10" customWidth="1"/>
    <col min="8963" max="8963" width="10.5703125" customWidth="1"/>
    <col min="9217" max="9217" width="56.42578125" customWidth="1"/>
    <col min="9218" max="9218" width="10" customWidth="1"/>
    <col min="9219" max="9219" width="10.5703125" customWidth="1"/>
    <col min="9473" max="9473" width="56.42578125" customWidth="1"/>
    <col min="9474" max="9474" width="10" customWidth="1"/>
    <col min="9475" max="9475" width="10.5703125" customWidth="1"/>
    <col min="9729" max="9729" width="56.42578125" customWidth="1"/>
    <col min="9730" max="9730" width="10" customWidth="1"/>
    <col min="9731" max="9731" width="10.5703125" customWidth="1"/>
    <col min="9985" max="9985" width="56.42578125" customWidth="1"/>
    <col min="9986" max="9986" width="10" customWidth="1"/>
    <col min="9987" max="9987" width="10.5703125" customWidth="1"/>
    <col min="10241" max="10241" width="56.42578125" customWidth="1"/>
    <col min="10242" max="10242" width="10" customWidth="1"/>
    <col min="10243" max="10243" width="10.5703125" customWidth="1"/>
    <col min="10497" max="10497" width="56.42578125" customWidth="1"/>
    <col min="10498" max="10498" width="10" customWidth="1"/>
    <col min="10499" max="10499" width="10.5703125" customWidth="1"/>
    <col min="10753" max="10753" width="56.42578125" customWidth="1"/>
    <col min="10754" max="10754" width="10" customWidth="1"/>
    <col min="10755" max="10755" width="10.5703125" customWidth="1"/>
    <col min="11009" max="11009" width="56.42578125" customWidth="1"/>
    <col min="11010" max="11010" width="10" customWidth="1"/>
    <col min="11011" max="11011" width="10.5703125" customWidth="1"/>
    <col min="11265" max="11265" width="56.42578125" customWidth="1"/>
    <col min="11266" max="11266" width="10" customWidth="1"/>
    <col min="11267" max="11267" width="10.5703125" customWidth="1"/>
    <col min="11521" max="11521" width="56.42578125" customWidth="1"/>
    <col min="11522" max="11522" width="10" customWidth="1"/>
    <col min="11523" max="11523" width="10.5703125" customWidth="1"/>
    <col min="11777" max="11777" width="56.42578125" customWidth="1"/>
    <col min="11778" max="11778" width="10" customWidth="1"/>
    <col min="11779" max="11779" width="10.5703125" customWidth="1"/>
    <col min="12033" max="12033" width="56.42578125" customWidth="1"/>
    <col min="12034" max="12034" width="10" customWidth="1"/>
    <col min="12035" max="12035" width="10.5703125" customWidth="1"/>
    <col min="12289" max="12289" width="56.42578125" customWidth="1"/>
    <col min="12290" max="12290" width="10" customWidth="1"/>
    <col min="12291" max="12291" width="10.5703125" customWidth="1"/>
    <col min="12545" max="12545" width="56.42578125" customWidth="1"/>
    <col min="12546" max="12546" width="10" customWidth="1"/>
    <col min="12547" max="12547" width="10.5703125" customWidth="1"/>
    <col min="12801" max="12801" width="56.42578125" customWidth="1"/>
    <col min="12802" max="12802" width="10" customWidth="1"/>
    <col min="12803" max="12803" width="10.5703125" customWidth="1"/>
    <col min="13057" max="13057" width="56.42578125" customWidth="1"/>
    <col min="13058" max="13058" width="10" customWidth="1"/>
    <col min="13059" max="13059" width="10.5703125" customWidth="1"/>
    <col min="13313" max="13313" width="56.42578125" customWidth="1"/>
    <col min="13314" max="13314" width="10" customWidth="1"/>
    <col min="13315" max="13315" width="10.5703125" customWidth="1"/>
    <col min="13569" max="13569" width="56.42578125" customWidth="1"/>
    <col min="13570" max="13570" width="10" customWidth="1"/>
    <col min="13571" max="13571" width="10.5703125" customWidth="1"/>
    <col min="13825" max="13825" width="56.42578125" customWidth="1"/>
    <col min="13826" max="13826" width="10" customWidth="1"/>
    <col min="13827" max="13827" width="10.5703125" customWidth="1"/>
    <col min="14081" max="14081" width="56.42578125" customWidth="1"/>
    <col min="14082" max="14082" width="10" customWidth="1"/>
    <col min="14083" max="14083" width="10.5703125" customWidth="1"/>
    <col min="14337" max="14337" width="56.42578125" customWidth="1"/>
    <col min="14338" max="14338" width="10" customWidth="1"/>
    <col min="14339" max="14339" width="10.5703125" customWidth="1"/>
    <col min="14593" max="14593" width="56.42578125" customWidth="1"/>
    <col min="14594" max="14594" width="10" customWidth="1"/>
    <col min="14595" max="14595" width="10.5703125" customWidth="1"/>
    <col min="14849" max="14849" width="56.42578125" customWidth="1"/>
    <col min="14850" max="14850" width="10" customWidth="1"/>
    <col min="14851" max="14851" width="10.5703125" customWidth="1"/>
    <col min="15105" max="15105" width="56.42578125" customWidth="1"/>
    <col min="15106" max="15106" width="10" customWidth="1"/>
    <col min="15107" max="15107" width="10.5703125" customWidth="1"/>
    <col min="15361" max="15361" width="56.42578125" customWidth="1"/>
    <col min="15362" max="15362" width="10" customWidth="1"/>
    <col min="15363" max="15363" width="10.5703125" customWidth="1"/>
    <col min="15617" max="15617" width="56.42578125" customWidth="1"/>
    <col min="15618" max="15618" width="10" customWidth="1"/>
    <col min="15619" max="15619" width="10.5703125" customWidth="1"/>
    <col min="15873" max="15873" width="56.42578125" customWidth="1"/>
    <col min="15874" max="15874" width="10" customWidth="1"/>
    <col min="15875" max="15875" width="10.5703125" customWidth="1"/>
    <col min="16129" max="16129" width="56.42578125" customWidth="1"/>
    <col min="16130" max="16130" width="10" customWidth="1"/>
    <col min="16131" max="16131" width="10.5703125" customWidth="1"/>
  </cols>
  <sheetData>
    <row r="1" spans="1:5">
      <c r="A1" s="313" t="s">
        <v>651</v>
      </c>
      <c r="B1" s="313"/>
      <c r="C1" s="313"/>
      <c r="D1" s="313"/>
      <c r="E1" s="313"/>
    </row>
    <row r="2" spans="1:5">
      <c r="A2" s="313" t="s">
        <v>645</v>
      </c>
      <c r="B2" s="313"/>
      <c r="C2" s="313"/>
      <c r="D2" s="313"/>
      <c r="E2" s="313"/>
    </row>
    <row r="3" spans="1:5">
      <c r="A3" s="313" t="s">
        <v>702</v>
      </c>
      <c r="B3" s="313"/>
      <c r="C3" s="313"/>
      <c r="D3" s="313"/>
      <c r="E3" s="313"/>
    </row>
    <row r="4" spans="1:5">
      <c r="A4" s="314" t="str">
        <f>пр.3!A4</f>
        <v>от 26.06.2019 г. № 348</v>
      </c>
      <c r="B4" s="314"/>
      <c r="C4" s="314"/>
      <c r="D4" s="314"/>
      <c r="E4" s="314"/>
    </row>
    <row r="5" spans="1:5">
      <c r="A5" s="299"/>
      <c r="B5" s="299"/>
      <c r="C5" s="299"/>
      <c r="D5" s="299"/>
      <c r="E5" s="299"/>
    </row>
    <row r="6" spans="1:5" ht="40.15" customHeight="1">
      <c r="A6" s="311" t="s">
        <v>712</v>
      </c>
      <c r="B6" s="311"/>
      <c r="C6" s="312"/>
      <c r="D6" s="312"/>
      <c r="E6" s="312"/>
    </row>
    <row r="7" spans="1:5">
      <c r="A7" s="5"/>
      <c r="B7" s="5"/>
      <c r="C7" s="192"/>
      <c r="E7" s="192" t="s">
        <v>1</v>
      </c>
    </row>
    <row r="8" spans="1:5" ht="32.25">
      <c r="A8" s="21" t="s">
        <v>29</v>
      </c>
      <c r="B8" s="77" t="s">
        <v>708</v>
      </c>
      <c r="C8" s="176" t="s">
        <v>697</v>
      </c>
      <c r="D8" s="176" t="s">
        <v>698</v>
      </c>
      <c r="E8" s="177" t="s">
        <v>699</v>
      </c>
    </row>
    <row r="9" spans="1:5">
      <c r="A9" s="57">
        <v>1</v>
      </c>
      <c r="B9" s="206">
        <v>2</v>
      </c>
      <c r="C9" s="207">
        <v>3</v>
      </c>
      <c r="D9" s="207">
        <v>4</v>
      </c>
      <c r="E9" s="207">
        <v>5</v>
      </c>
    </row>
    <row r="10" spans="1:5" ht="36.6" customHeight="1">
      <c r="A10" s="37" t="s">
        <v>709</v>
      </c>
      <c r="B10" s="185">
        <f>B14</f>
        <v>0</v>
      </c>
      <c r="C10" s="185">
        <f>C14</f>
        <v>0</v>
      </c>
      <c r="D10" s="208">
        <f>B10-C10</f>
        <v>0</v>
      </c>
      <c r="E10" s="209">
        <v>0</v>
      </c>
    </row>
    <row r="11" spans="1:5" ht="30">
      <c r="A11" s="210" t="s">
        <v>48</v>
      </c>
      <c r="B11" s="211">
        <v>0</v>
      </c>
      <c r="C11" s="211">
        <v>0</v>
      </c>
      <c r="D11" s="212">
        <f>B11-C11</f>
        <v>0</v>
      </c>
      <c r="E11" s="211">
        <v>0</v>
      </c>
    </row>
    <row r="12" spans="1:5" ht="15">
      <c r="A12" s="213" t="s">
        <v>710</v>
      </c>
      <c r="B12" s="214">
        <v>0</v>
      </c>
      <c r="C12" s="214">
        <v>0</v>
      </c>
      <c r="D12" s="212">
        <f>B12-C12</f>
        <v>0</v>
      </c>
      <c r="E12" s="211">
        <v>0</v>
      </c>
    </row>
    <row r="13" spans="1:5" ht="15">
      <c r="A13" s="213" t="s">
        <v>711</v>
      </c>
      <c r="B13" s="214">
        <v>0</v>
      </c>
      <c r="C13" s="214">
        <v>0</v>
      </c>
      <c r="D13" s="212">
        <f>B13-C13</f>
        <v>0</v>
      </c>
      <c r="E13" s="211">
        <v>0</v>
      </c>
    </row>
    <row r="14" spans="1:5" ht="30">
      <c r="A14" s="215" t="s">
        <v>86</v>
      </c>
      <c r="B14" s="214">
        <f>B15+B16</f>
        <v>0</v>
      </c>
      <c r="C14" s="214">
        <f>C15+C16</f>
        <v>0</v>
      </c>
      <c r="D14" s="212">
        <f>B14-C14</f>
        <v>0</v>
      </c>
      <c r="E14" s="216">
        <v>0</v>
      </c>
    </row>
    <row r="15" spans="1:5" ht="15">
      <c r="A15" s="213" t="s">
        <v>710</v>
      </c>
      <c r="B15" s="214">
        <f>'[3]пр.6 ист.'!C20</f>
        <v>0</v>
      </c>
      <c r="C15" s="214">
        <f>'[3]пр.6 ист.'!D20</f>
        <v>0</v>
      </c>
      <c r="D15" s="214">
        <f>'[3]пр.6 ист.'!E20</f>
        <v>0</v>
      </c>
      <c r="E15" s="216">
        <v>0</v>
      </c>
    </row>
    <row r="16" spans="1:5" ht="15">
      <c r="A16" s="213" t="s">
        <v>711</v>
      </c>
      <c r="B16" s="214">
        <v>0</v>
      </c>
      <c r="C16" s="214">
        <v>0</v>
      </c>
      <c r="D16" s="214">
        <f>'[3]пр.6 ист.'!E23</f>
        <v>0</v>
      </c>
      <c r="E16" s="216">
        <v>0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view="pageBreakPreview" zoomScale="60" workbookViewId="0">
      <selection activeCell="B27" sqref="B27"/>
    </sheetView>
  </sheetViews>
  <sheetFormatPr defaultRowHeight="12.75"/>
  <cols>
    <col min="1" max="1" width="56.42578125" customWidth="1"/>
    <col min="2" max="2" width="12.140625" customWidth="1"/>
    <col min="3" max="3" width="10.5703125" customWidth="1"/>
    <col min="4" max="4" width="10.140625" customWidth="1"/>
    <col min="257" max="257" width="56.42578125" customWidth="1"/>
    <col min="258" max="258" width="12.140625" customWidth="1"/>
    <col min="259" max="259" width="10.5703125" customWidth="1"/>
    <col min="260" max="260" width="10.140625" customWidth="1"/>
    <col min="513" max="513" width="56.42578125" customWidth="1"/>
    <col min="514" max="514" width="12.140625" customWidth="1"/>
    <col min="515" max="515" width="10.5703125" customWidth="1"/>
    <col min="516" max="516" width="10.140625" customWidth="1"/>
    <col min="769" max="769" width="56.42578125" customWidth="1"/>
    <col min="770" max="770" width="12.140625" customWidth="1"/>
    <col min="771" max="771" width="10.5703125" customWidth="1"/>
    <col min="772" max="772" width="10.140625" customWidth="1"/>
    <col min="1025" max="1025" width="56.42578125" customWidth="1"/>
    <col min="1026" max="1026" width="12.140625" customWidth="1"/>
    <col min="1027" max="1027" width="10.5703125" customWidth="1"/>
    <col min="1028" max="1028" width="10.140625" customWidth="1"/>
    <col min="1281" max="1281" width="56.42578125" customWidth="1"/>
    <col min="1282" max="1282" width="12.140625" customWidth="1"/>
    <col min="1283" max="1283" width="10.5703125" customWidth="1"/>
    <col min="1284" max="1284" width="10.140625" customWidth="1"/>
    <col min="1537" max="1537" width="56.42578125" customWidth="1"/>
    <col min="1538" max="1538" width="12.140625" customWidth="1"/>
    <col min="1539" max="1539" width="10.5703125" customWidth="1"/>
    <col min="1540" max="1540" width="10.140625" customWidth="1"/>
    <col min="1793" max="1793" width="56.42578125" customWidth="1"/>
    <col min="1794" max="1794" width="12.140625" customWidth="1"/>
    <col min="1795" max="1795" width="10.5703125" customWidth="1"/>
    <col min="1796" max="1796" width="10.140625" customWidth="1"/>
    <col min="2049" max="2049" width="56.42578125" customWidth="1"/>
    <col min="2050" max="2050" width="12.140625" customWidth="1"/>
    <col min="2051" max="2051" width="10.5703125" customWidth="1"/>
    <col min="2052" max="2052" width="10.140625" customWidth="1"/>
    <col min="2305" max="2305" width="56.42578125" customWidth="1"/>
    <col min="2306" max="2306" width="12.140625" customWidth="1"/>
    <col min="2307" max="2307" width="10.5703125" customWidth="1"/>
    <col min="2308" max="2308" width="10.140625" customWidth="1"/>
    <col min="2561" max="2561" width="56.42578125" customWidth="1"/>
    <col min="2562" max="2562" width="12.140625" customWidth="1"/>
    <col min="2563" max="2563" width="10.5703125" customWidth="1"/>
    <col min="2564" max="2564" width="10.140625" customWidth="1"/>
    <col min="2817" max="2817" width="56.42578125" customWidth="1"/>
    <col min="2818" max="2818" width="12.140625" customWidth="1"/>
    <col min="2819" max="2819" width="10.5703125" customWidth="1"/>
    <col min="2820" max="2820" width="10.140625" customWidth="1"/>
    <col min="3073" max="3073" width="56.42578125" customWidth="1"/>
    <col min="3074" max="3074" width="12.140625" customWidth="1"/>
    <col min="3075" max="3075" width="10.5703125" customWidth="1"/>
    <col min="3076" max="3076" width="10.140625" customWidth="1"/>
    <col min="3329" max="3329" width="56.42578125" customWidth="1"/>
    <col min="3330" max="3330" width="12.140625" customWidth="1"/>
    <col min="3331" max="3331" width="10.5703125" customWidth="1"/>
    <col min="3332" max="3332" width="10.140625" customWidth="1"/>
    <col min="3585" max="3585" width="56.42578125" customWidth="1"/>
    <col min="3586" max="3586" width="12.140625" customWidth="1"/>
    <col min="3587" max="3587" width="10.5703125" customWidth="1"/>
    <col min="3588" max="3588" width="10.140625" customWidth="1"/>
    <col min="3841" max="3841" width="56.42578125" customWidth="1"/>
    <col min="3842" max="3842" width="12.140625" customWidth="1"/>
    <col min="3843" max="3843" width="10.5703125" customWidth="1"/>
    <col min="3844" max="3844" width="10.140625" customWidth="1"/>
    <col min="4097" max="4097" width="56.42578125" customWidth="1"/>
    <col min="4098" max="4098" width="12.140625" customWidth="1"/>
    <col min="4099" max="4099" width="10.5703125" customWidth="1"/>
    <col min="4100" max="4100" width="10.140625" customWidth="1"/>
    <col min="4353" max="4353" width="56.42578125" customWidth="1"/>
    <col min="4354" max="4354" width="12.140625" customWidth="1"/>
    <col min="4355" max="4355" width="10.5703125" customWidth="1"/>
    <col min="4356" max="4356" width="10.140625" customWidth="1"/>
    <col min="4609" max="4609" width="56.42578125" customWidth="1"/>
    <col min="4610" max="4610" width="12.140625" customWidth="1"/>
    <col min="4611" max="4611" width="10.5703125" customWidth="1"/>
    <col min="4612" max="4612" width="10.140625" customWidth="1"/>
    <col min="4865" max="4865" width="56.42578125" customWidth="1"/>
    <col min="4866" max="4866" width="12.140625" customWidth="1"/>
    <col min="4867" max="4867" width="10.5703125" customWidth="1"/>
    <col min="4868" max="4868" width="10.140625" customWidth="1"/>
    <col min="5121" max="5121" width="56.42578125" customWidth="1"/>
    <col min="5122" max="5122" width="12.140625" customWidth="1"/>
    <col min="5123" max="5123" width="10.5703125" customWidth="1"/>
    <col min="5124" max="5124" width="10.140625" customWidth="1"/>
    <col min="5377" max="5377" width="56.42578125" customWidth="1"/>
    <col min="5378" max="5378" width="12.140625" customWidth="1"/>
    <col min="5379" max="5379" width="10.5703125" customWidth="1"/>
    <col min="5380" max="5380" width="10.140625" customWidth="1"/>
    <col min="5633" max="5633" width="56.42578125" customWidth="1"/>
    <col min="5634" max="5634" width="12.140625" customWidth="1"/>
    <col min="5635" max="5635" width="10.5703125" customWidth="1"/>
    <col min="5636" max="5636" width="10.140625" customWidth="1"/>
    <col min="5889" max="5889" width="56.42578125" customWidth="1"/>
    <col min="5890" max="5890" width="12.140625" customWidth="1"/>
    <col min="5891" max="5891" width="10.5703125" customWidth="1"/>
    <col min="5892" max="5892" width="10.140625" customWidth="1"/>
    <col min="6145" max="6145" width="56.42578125" customWidth="1"/>
    <col min="6146" max="6146" width="12.140625" customWidth="1"/>
    <col min="6147" max="6147" width="10.5703125" customWidth="1"/>
    <col min="6148" max="6148" width="10.140625" customWidth="1"/>
    <col min="6401" max="6401" width="56.42578125" customWidth="1"/>
    <col min="6402" max="6402" width="12.140625" customWidth="1"/>
    <col min="6403" max="6403" width="10.5703125" customWidth="1"/>
    <col min="6404" max="6404" width="10.140625" customWidth="1"/>
    <col min="6657" max="6657" width="56.42578125" customWidth="1"/>
    <col min="6658" max="6658" width="12.140625" customWidth="1"/>
    <col min="6659" max="6659" width="10.5703125" customWidth="1"/>
    <col min="6660" max="6660" width="10.140625" customWidth="1"/>
    <col min="6913" max="6913" width="56.42578125" customWidth="1"/>
    <col min="6914" max="6914" width="12.140625" customWidth="1"/>
    <col min="6915" max="6915" width="10.5703125" customWidth="1"/>
    <col min="6916" max="6916" width="10.140625" customWidth="1"/>
    <col min="7169" max="7169" width="56.42578125" customWidth="1"/>
    <col min="7170" max="7170" width="12.140625" customWidth="1"/>
    <col min="7171" max="7171" width="10.5703125" customWidth="1"/>
    <col min="7172" max="7172" width="10.140625" customWidth="1"/>
    <col min="7425" max="7425" width="56.42578125" customWidth="1"/>
    <col min="7426" max="7426" width="12.140625" customWidth="1"/>
    <col min="7427" max="7427" width="10.5703125" customWidth="1"/>
    <col min="7428" max="7428" width="10.140625" customWidth="1"/>
    <col min="7681" max="7681" width="56.42578125" customWidth="1"/>
    <col min="7682" max="7682" width="12.140625" customWidth="1"/>
    <col min="7683" max="7683" width="10.5703125" customWidth="1"/>
    <col min="7684" max="7684" width="10.140625" customWidth="1"/>
    <col min="7937" max="7937" width="56.42578125" customWidth="1"/>
    <col min="7938" max="7938" width="12.140625" customWidth="1"/>
    <col min="7939" max="7939" width="10.5703125" customWidth="1"/>
    <col min="7940" max="7940" width="10.140625" customWidth="1"/>
    <col min="8193" max="8193" width="56.42578125" customWidth="1"/>
    <col min="8194" max="8194" width="12.140625" customWidth="1"/>
    <col min="8195" max="8195" width="10.5703125" customWidth="1"/>
    <col min="8196" max="8196" width="10.140625" customWidth="1"/>
    <col min="8449" max="8449" width="56.42578125" customWidth="1"/>
    <col min="8450" max="8450" width="12.140625" customWidth="1"/>
    <col min="8451" max="8451" width="10.5703125" customWidth="1"/>
    <col min="8452" max="8452" width="10.140625" customWidth="1"/>
    <col min="8705" max="8705" width="56.42578125" customWidth="1"/>
    <col min="8706" max="8706" width="12.140625" customWidth="1"/>
    <col min="8707" max="8707" width="10.5703125" customWidth="1"/>
    <col min="8708" max="8708" width="10.140625" customWidth="1"/>
    <col min="8961" max="8961" width="56.42578125" customWidth="1"/>
    <col min="8962" max="8962" width="12.140625" customWidth="1"/>
    <col min="8963" max="8963" width="10.5703125" customWidth="1"/>
    <col min="8964" max="8964" width="10.140625" customWidth="1"/>
    <col min="9217" max="9217" width="56.42578125" customWidth="1"/>
    <col min="9218" max="9218" width="12.140625" customWidth="1"/>
    <col min="9219" max="9219" width="10.5703125" customWidth="1"/>
    <col min="9220" max="9220" width="10.140625" customWidth="1"/>
    <col min="9473" max="9473" width="56.42578125" customWidth="1"/>
    <col min="9474" max="9474" width="12.140625" customWidth="1"/>
    <col min="9475" max="9475" width="10.5703125" customWidth="1"/>
    <col min="9476" max="9476" width="10.140625" customWidth="1"/>
    <col min="9729" max="9729" width="56.42578125" customWidth="1"/>
    <col min="9730" max="9730" width="12.140625" customWidth="1"/>
    <col min="9731" max="9731" width="10.5703125" customWidth="1"/>
    <col min="9732" max="9732" width="10.140625" customWidth="1"/>
    <col min="9985" max="9985" width="56.42578125" customWidth="1"/>
    <col min="9986" max="9986" width="12.140625" customWidth="1"/>
    <col min="9987" max="9987" width="10.5703125" customWidth="1"/>
    <col min="9988" max="9988" width="10.140625" customWidth="1"/>
    <col min="10241" max="10241" width="56.42578125" customWidth="1"/>
    <col min="10242" max="10242" width="12.140625" customWidth="1"/>
    <col min="10243" max="10243" width="10.5703125" customWidth="1"/>
    <col min="10244" max="10244" width="10.140625" customWidth="1"/>
    <col min="10497" max="10497" width="56.42578125" customWidth="1"/>
    <col min="10498" max="10498" width="12.140625" customWidth="1"/>
    <col min="10499" max="10499" width="10.5703125" customWidth="1"/>
    <col min="10500" max="10500" width="10.140625" customWidth="1"/>
    <col min="10753" max="10753" width="56.42578125" customWidth="1"/>
    <col min="10754" max="10754" width="12.140625" customWidth="1"/>
    <col min="10755" max="10755" width="10.5703125" customWidth="1"/>
    <col min="10756" max="10756" width="10.140625" customWidth="1"/>
    <col min="11009" max="11009" width="56.42578125" customWidth="1"/>
    <col min="11010" max="11010" width="12.140625" customWidth="1"/>
    <col min="11011" max="11011" width="10.5703125" customWidth="1"/>
    <col min="11012" max="11012" width="10.140625" customWidth="1"/>
    <col min="11265" max="11265" width="56.42578125" customWidth="1"/>
    <col min="11266" max="11266" width="12.140625" customWidth="1"/>
    <col min="11267" max="11267" width="10.5703125" customWidth="1"/>
    <col min="11268" max="11268" width="10.140625" customWidth="1"/>
    <col min="11521" max="11521" width="56.42578125" customWidth="1"/>
    <col min="11522" max="11522" width="12.140625" customWidth="1"/>
    <col min="11523" max="11523" width="10.5703125" customWidth="1"/>
    <col min="11524" max="11524" width="10.140625" customWidth="1"/>
    <col min="11777" max="11777" width="56.42578125" customWidth="1"/>
    <col min="11778" max="11778" width="12.140625" customWidth="1"/>
    <col min="11779" max="11779" width="10.5703125" customWidth="1"/>
    <col min="11780" max="11780" width="10.140625" customWidth="1"/>
    <col min="12033" max="12033" width="56.42578125" customWidth="1"/>
    <col min="12034" max="12034" width="12.140625" customWidth="1"/>
    <col min="12035" max="12035" width="10.5703125" customWidth="1"/>
    <col min="12036" max="12036" width="10.140625" customWidth="1"/>
    <col min="12289" max="12289" width="56.42578125" customWidth="1"/>
    <col min="12290" max="12290" width="12.140625" customWidth="1"/>
    <col min="12291" max="12291" width="10.5703125" customWidth="1"/>
    <col min="12292" max="12292" width="10.140625" customWidth="1"/>
    <col min="12545" max="12545" width="56.42578125" customWidth="1"/>
    <col min="12546" max="12546" width="12.140625" customWidth="1"/>
    <col min="12547" max="12547" width="10.5703125" customWidth="1"/>
    <col min="12548" max="12548" width="10.140625" customWidth="1"/>
    <col min="12801" max="12801" width="56.42578125" customWidth="1"/>
    <col min="12802" max="12802" width="12.140625" customWidth="1"/>
    <col min="12803" max="12803" width="10.5703125" customWidth="1"/>
    <col min="12804" max="12804" width="10.140625" customWidth="1"/>
    <col min="13057" max="13057" width="56.42578125" customWidth="1"/>
    <col min="13058" max="13058" width="12.140625" customWidth="1"/>
    <col min="13059" max="13059" width="10.5703125" customWidth="1"/>
    <col min="13060" max="13060" width="10.140625" customWidth="1"/>
    <col min="13313" max="13313" width="56.42578125" customWidth="1"/>
    <col min="13314" max="13314" width="12.140625" customWidth="1"/>
    <col min="13315" max="13315" width="10.5703125" customWidth="1"/>
    <col min="13316" max="13316" width="10.140625" customWidth="1"/>
    <col min="13569" max="13569" width="56.42578125" customWidth="1"/>
    <col min="13570" max="13570" width="12.140625" customWidth="1"/>
    <col min="13571" max="13571" width="10.5703125" customWidth="1"/>
    <col min="13572" max="13572" width="10.140625" customWidth="1"/>
    <col min="13825" max="13825" width="56.42578125" customWidth="1"/>
    <col min="13826" max="13826" width="12.140625" customWidth="1"/>
    <col min="13827" max="13827" width="10.5703125" customWidth="1"/>
    <col min="13828" max="13828" width="10.140625" customWidth="1"/>
    <col min="14081" max="14081" width="56.42578125" customWidth="1"/>
    <col min="14082" max="14082" width="12.140625" customWidth="1"/>
    <col min="14083" max="14083" width="10.5703125" customWidth="1"/>
    <col min="14084" max="14084" width="10.140625" customWidth="1"/>
    <col min="14337" max="14337" width="56.42578125" customWidth="1"/>
    <col min="14338" max="14338" width="12.140625" customWidth="1"/>
    <col min="14339" max="14339" width="10.5703125" customWidth="1"/>
    <col min="14340" max="14340" width="10.140625" customWidth="1"/>
    <col min="14593" max="14593" width="56.42578125" customWidth="1"/>
    <col min="14594" max="14594" width="12.140625" customWidth="1"/>
    <col min="14595" max="14595" width="10.5703125" customWidth="1"/>
    <col min="14596" max="14596" width="10.140625" customWidth="1"/>
    <col min="14849" max="14849" width="56.42578125" customWidth="1"/>
    <col min="14850" max="14850" width="12.140625" customWidth="1"/>
    <col min="14851" max="14851" width="10.5703125" customWidth="1"/>
    <col min="14852" max="14852" width="10.140625" customWidth="1"/>
    <col min="15105" max="15105" width="56.42578125" customWidth="1"/>
    <col min="15106" max="15106" width="12.140625" customWidth="1"/>
    <col min="15107" max="15107" width="10.5703125" customWidth="1"/>
    <col min="15108" max="15108" width="10.140625" customWidth="1"/>
    <col min="15361" max="15361" width="56.42578125" customWidth="1"/>
    <col min="15362" max="15362" width="12.140625" customWidth="1"/>
    <col min="15363" max="15363" width="10.5703125" customWidth="1"/>
    <col min="15364" max="15364" width="10.140625" customWidth="1"/>
    <col min="15617" max="15617" width="56.42578125" customWidth="1"/>
    <col min="15618" max="15618" width="12.140625" customWidth="1"/>
    <col min="15619" max="15619" width="10.5703125" customWidth="1"/>
    <col min="15620" max="15620" width="10.140625" customWidth="1"/>
    <col min="15873" max="15873" width="56.42578125" customWidth="1"/>
    <col min="15874" max="15874" width="12.140625" customWidth="1"/>
    <col min="15875" max="15875" width="10.5703125" customWidth="1"/>
    <col min="15876" max="15876" width="10.140625" customWidth="1"/>
    <col min="16129" max="16129" width="56.42578125" customWidth="1"/>
    <col min="16130" max="16130" width="12.140625" customWidth="1"/>
    <col min="16131" max="16131" width="10.5703125" customWidth="1"/>
    <col min="16132" max="16132" width="10.140625" customWidth="1"/>
  </cols>
  <sheetData>
    <row r="1" spans="1:5">
      <c r="A1" s="313" t="s">
        <v>696</v>
      </c>
      <c r="B1" s="313"/>
      <c r="C1" s="313"/>
      <c r="D1" s="313"/>
      <c r="E1" s="233"/>
    </row>
    <row r="2" spans="1:5">
      <c r="A2" s="313" t="s">
        <v>645</v>
      </c>
      <c r="B2" s="313"/>
      <c r="C2" s="313"/>
      <c r="D2" s="313"/>
      <c r="E2" s="233"/>
    </row>
    <row r="3" spans="1:5">
      <c r="A3" s="313" t="s">
        <v>702</v>
      </c>
      <c r="B3" s="313"/>
      <c r="C3" s="313"/>
      <c r="D3" s="313"/>
      <c r="E3" s="233"/>
    </row>
    <row r="4" spans="1:5">
      <c r="A4" s="314" t="str">
        <f>пр.3!A4</f>
        <v>от 26.06.2019 г. № 348</v>
      </c>
      <c r="B4" s="314"/>
      <c r="C4" s="314"/>
      <c r="D4" s="314"/>
      <c r="E4" s="234"/>
    </row>
    <row r="5" spans="1:5">
      <c r="A5" s="234"/>
      <c r="B5" s="234"/>
      <c r="C5" s="234"/>
      <c r="D5" s="234"/>
      <c r="E5" s="234"/>
    </row>
    <row r="6" spans="1:5" ht="40.15" customHeight="1">
      <c r="A6" s="315" t="s">
        <v>735</v>
      </c>
      <c r="B6" s="315"/>
      <c r="C6" s="315"/>
      <c r="D6" s="299"/>
    </row>
    <row r="7" spans="1:5">
      <c r="A7" s="5"/>
      <c r="B7" s="5"/>
      <c r="C7" s="235"/>
      <c r="D7" s="235" t="s">
        <v>1</v>
      </c>
    </row>
    <row r="8" spans="1:5" ht="63.75">
      <c r="A8" s="21" t="s">
        <v>29</v>
      </c>
      <c r="B8" s="22" t="s">
        <v>727</v>
      </c>
      <c r="C8" s="22" t="s">
        <v>734</v>
      </c>
      <c r="D8" s="238" t="s">
        <v>728</v>
      </c>
    </row>
    <row r="9" spans="1:5">
      <c r="A9" s="57">
        <v>1</v>
      </c>
      <c r="B9" s="239">
        <v>2</v>
      </c>
      <c r="C9" s="239">
        <v>3</v>
      </c>
      <c r="D9" s="240">
        <v>4</v>
      </c>
    </row>
    <row r="10" spans="1:5" ht="36.6" customHeight="1">
      <c r="A10" s="241" t="s">
        <v>729</v>
      </c>
      <c r="B10" s="242">
        <f>B12+B13</f>
        <v>32000</v>
      </c>
      <c r="C10" s="242">
        <f>C12+C13</f>
        <v>32000</v>
      </c>
      <c r="D10" s="242">
        <f>D12+D13</f>
        <v>0</v>
      </c>
    </row>
    <row r="11" spans="1:5" ht="19.149999999999999" customHeight="1">
      <c r="A11" s="215" t="s">
        <v>730</v>
      </c>
      <c r="B11" s="243"/>
      <c r="C11" s="243"/>
      <c r="D11" s="243"/>
    </row>
    <row r="12" spans="1:5" ht="45.6" customHeight="1">
      <c r="A12" s="215" t="s">
        <v>731</v>
      </c>
      <c r="B12" s="244">
        <v>32000</v>
      </c>
      <c r="C12" s="244">
        <v>32000</v>
      </c>
      <c r="D12" s="244">
        <v>0</v>
      </c>
      <c r="E12" s="245"/>
    </row>
    <row r="13" spans="1:5" ht="31.9" customHeight="1">
      <c r="A13" s="215" t="s">
        <v>732</v>
      </c>
      <c r="B13" s="245">
        <v>0</v>
      </c>
      <c r="C13" s="244">
        <v>0</v>
      </c>
      <c r="D13" s="244">
        <v>0</v>
      </c>
    </row>
    <row r="14" spans="1:5" ht="14.25">
      <c r="A14" s="246" t="s">
        <v>733</v>
      </c>
      <c r="B14" s="247">
        <f>B10</f>
        <v>32000</v>
      </c>
      <c r="C14" s="247">
        <f>C10</f>
        <v>32000</v>
      </c>
      <c r="D14" s="247">
        <f>D10</f>
        <v>0</v>
      </c>
    </row>
  </sheetData>
  <mergeCells count="5">
    <mergeCell ref="A6:D6"/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view="pageBreakPreview" zoomScaleSheetLayoutView="100" workbookViewId="0">
      <selection activeCell="L15" sqref="L15"/>
    </sheetView>
  </sheetViews>
  <sheetFormatPr defaultRowHeight="12.75"/>
  <cols>
    <col min="1" max="1" width="50.28515625" customWidth="1"/>
    <col min="2" max="2" width="17" customWidth="1"/>
    <col min="3" max="3" width="5.28515625" customWidth="1"/>
    <col min="4" max="4" width="5.7109375" customWidth="1"/>
    <col min="5" max="5" width="6.42578125" customWidth="1"/>
    <col min="6" max="6" width="7.140625" customWidth="1"/>
  </cols>
  <sheetData>
    <row r="1" spans="1:10" s="132" customFormat="1" ht="15">
      <c r="A1" s="316" t="s">
        <v>713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s="132" customFormat="1" ht="12.75" customHeight="1">
      <c r="A2" s="300" t="str">
        <f>'пр2 по разд'!A2:D2</f>
        <v>к решению Собрания представителей Сусуманского городского округа</v>
      </c>
      <c r="B2" s="300"/>
      <c r="C2" s="300"/>
      <c r="D2" s="300"/>
      <c r="E2" s="300"/>
      <c r="F2" s="306"/>
      <c r="G2" s="299"/>
      <c r="H2" s="299"/>
      <c r="I2" s="299"/>
      <c r="J2" s="299"/>
    </row>
    <row r="3" spans="1:10" s="132" customFormat="1" ht="12.75" customHeight="1">
      <c r="A3" s="300" t="str">
        <f>'пр2 по разд'!A3:G3</f>
        <v>"Об исполнении бюджета муниципального образования "Сусуманский городской округ" за 2019 год"</v>
      </c>
      <c r="B3" s="300"/>
      <c r="C3" s="300"/>
      <c r="D3" s="300"/>
      <c r="E3" s="300"/>
      <c r="F3" s="306"/>
      <c r="G3" s="299"/>
      <c r="H3" s="299"/>
      <c r="I3" s="299"/>
      <c r="J3" s="299"/>
    </row>
    <row r="4" spans="1:10" s="132" customFormat="1" ht="15">
      <c r="A4" s="300" t="s">
        <v>776</v>
      </c>
      <c r="B4" s="300"/>
      <c r="C4" s="300"/>
      <c r="D4" s="300"/>
      <c r="E4" s="300"/>
      <c r="F4" s="306"/>
      <c r="G4" s="299"/>
      <c r="H4" s="299"/>
      <c r="I4" s="299"/>
      <c r="J4" s="299"/>
    </row>
    <row r="5" spans="1:10" s="132" customFormat="1" ht="41.45" customHeight="1">
      <c r="A5" s="317" t="s">
        <v>737</v>
      </c>
      <c r="B5" s="317"/>
      <c r="C5" s="318"/>
      <c r="D5" s="318"/>
      <c r="E5" s="318"/>
      <c r="F5" s="318"/>
      <c r="G5" s="318"/>
      <c r="H5" s="299"/>
      <c r="I5" s="299"/>
      <c r="J5" s="299"/>
    </row>
    <row r="6" spans="1:10" s="132" customFormat="1" ht="15">
      <c r="C6" s="130"/>
      <c r="D6" s="130"/>
      <c r="E6" s="130"/>
      <c r="F6" s="130"/>
      <c r="G6" s="130"/>
      <c r="H6" s="131"/>
      <c r="I6" s="130" t="s">
        <v>646</v>
      </c>
    </row>
    <row r="7" spans="1:10" s="203" customFormat="1" ht="24" customHeight="1">
      <c r="A7" s="220" t="s">
        <v>29</v>
      </c>
      <c r="B7" s="221" t="s">
        <v>647</v>
      </c>
      <c r="C7" s="221" t="s">
        <v>42</v>
      </c>
      <c r="D7" s="221" t="s">
        <v>41</v>
      </c>
      <c r="E7" s="220" t="s">
        <v>44</v>
      </c>
      <c r="F7" s="220" t="s">
        <v>648</v>
      </c>
      <c r="G7" s="220" t="s">
        <v>358</v>
      </c>
      <c r="H7" s="200" t="s">
        <v>697</v>
      </c>
      <c r="I7" s="200" t="s">
        <v>698</v>
      </c>
      <c r="J7" s="202" t="s">
        <v>699</v>
      </c>
    </row>
    <row r="8" spans="1:10" s="132" customFormat="1" ht="15">
      <c r="A8" s="135">
        <v>1</v>
      </c>
      <c r="B8" s="135"/>
      <c r="C8" s="134">
        <v>2</v>
      </c>
      <c r="D8" s="134">
        <v>3</v>
      </c>
      <c r="E8" s="133">
        <v>5</v>
      </c>
      <c r="F8" s="133">
        <v>6</v>
      </c>
      <c r="G8" s="133">
        <v>7</v>
      </c>
      <c r="H8" s="217">
        <v>8</v>
      </c>
      <c r="I8" s="217">
        <v>9</v>
      </c>
      <c r="J8" s="217">
        <v>10</v>
      </c>
    </row>
    <row r="9" spans="1:10" s="132" customFormat="1" ht="15.75">
      <c r="A9" s="136" t="s">
        <v>73</v>
      </c>
      <c r="C9" s="134"/>
      <c r="D9" s="134"/>
      <c r="E9" s="133"/>
      <c r="F9" s="133"/>
      <c r="G9" s="137">
        <f>G12</f>
        <v>7952.5</v>
      </c>
      <c r="H9" s="137">
        <f t="shared" ref="H9:I11" si="0">H10</f>
        <v>7951.9</v>
      </c>
      <c r="I9" s="137">
        <f t="shared" si="0"/>
        <v>0.6000000000003638</v>
      </c>
      <c r="J9" s="137">
        <f>J12</f>
        <v>99.992455202766422</v>
      </c>
    </row>
    <row r="10" spans="1:10" s="132" customFormat="1" ht="31.5">
      <c r="A10" s="248" t="s">
        <v>17</v>
      </c>
      <c r="B10" s="20" t="s">
        <v>347</v>
      </c>
      <c r="C10" s="138"/>
      <c r="D10" s="138"/>
      <c r="E10" s="139"/>
      <c r="F10" s="139"/>
      <c r="G10" s="140">
        <f>G11</f>
        <v>7952.5</v>
      </c>
      <c r="H10" s="140">
        <f t="shared" si="0"/>
        <v>7951.9</v>
      </c>
      <c r="I10" s="140">
        <f t="shared" si="0"/>
        <v>0.6000000000003638</v>
      </c>
      <c r="J10" s="140">
        <f t="shared" ref="H10:J14" si="1">J11</f>
        <v>99.992455202766422</v>
      </c>
    </row>
    <row r="11" spans="1:10" s="132" customFormat="1" ht="17.45" customHeight="1">
      <c r="A11" s="248" t="s">
        <v>570</v>
      </c>
      <c r="B11" s="20" t="s">
        <v>571</v>
      </c>
      <c r="C11" s="138"/>
      <c r="D11" s="138"/>
      <c r="E11" s="139"/>
      <c r="F11" s="139"/>
      <c r="G11" s="140">
        <f>G12</f>
        <v>7952.5</v>
      </c>
      <c r="H11" s="140">
        <f t="shared" si="0"/>
        <v>7951.9</v>
      </c>
      <c r="I11" s="140">
        <f t="shared" si="0"/>
        <v>0.6000000000003638</v>
      </c>
      <c r="J11" s="140">
        <f t="shared" si="1"/>
        <v>99.992455202766422</v>
      </c>
    </row>
    <row r="12" spans="1:10" s="132" customFormat="1" ht="15.75">
      <c r="A12" s="249" t="s">
        <v>649</v>
      </c>
      <c r="B12" s="20" t="s">
        <v>571</v>
      </c>
      <c r="C12" s="141">
        <v>10</v>
      </c>
      <c r="D12" s="141" t="s">
        <v>33</v>
      </c>
      <c r="E12" s="139"/>
      <c r="F12" s="139"/>
      <c r="G12" s="140">
        <f>G13</f>
        <v>7952.5</v>
      </c>
      <c r="H12" s="140">
        <f t="shared" si="1"/>
        <v>7951.9</v>
      </c>
      <c r="I12" s="140">
        <f t="shared" si="1"/>
        <v>0.6000000000003638</v>
      </c>
      <c r="J12" s="140">
        <f t="shared" si="1"/>
        <v>99.992455202766422</v>
      </c>
    </row>
    <row r="13" spans="1:10" s="132" customFormat="1" ht="15.75">
      <c r="A13" s="249" t="s">
        <v>650</v>
      </c>
      <c r="B13" s="20" t="s">
        <v>571</v>
      </c>
      <c r="C13" s="141">
        <v>10</v>
      </c>
      <c r="D13" s="141" t="s">
        <v>62</v>
      </c>
      <c r="E13" s="139"/>
      <c r="F13" s="139"/>
      <c r="G13" s="140">
        <f>G14</f>
        <v>7952.5</v>
      </c>
      <c r="H13" s="140">
        <f t="shared" si="1"/>
        <v>7951.9</v>
      </c>
      <c r="I13" s="140">
        <f t="shared" si="1"/>
        <v>0.6000000000003638</v>
      </c>
      <c r="J13" s="140">
        <f t="shared" si="1"/>
        <v>99.992455202766422</v>
      </c>
    </row>
    <row r="14" spans="1:10" s="132" customFormat="1" ht="31.5">
      <c r="A14" s="248" t="s">
        <v>99</v>
      </c>
      <c r="B14" s="20" t="s">
        <v>571</v>
      </c>
      <c r="C14" s="141">
        <v>10</v>
      </c>
      <c r="D14" s="141" t="s">
        <v>62</v>
      </c>
      <c r="E14" s="142" t="s">
        <v>100</v>
      </c>
      <c r="F14" s="139"/>
      <c r="G14" s="140">
        <f>G15</f>
        <v>7952.5</v>
      </c>
      <c r="H14" s="140">
        <f t="shared" si="1"/>
        <v>7951.9</v>
      </c>
      <c r="I14" s="140">
        <f t="shared" si="1"/>
        <v>0.6000000000003638</v>
      </c>
      <c r="J14" s="140">
        <f t="shared" si="1"/>
        <v>99.992455202766422</v>
      </c>
    </row>
    <row r="15" spans="1:10" s="132" customFormat="1" ht="31.5">
      <c r="A15" s="248" t="s">
        <v>101</v>
      </c>
      <c r="B15" s="20" t="s">
        <v>571</v>
      </c>
      <c r="C15" s="141">
        <v>10</v>
      </c>
      <c r="D15" s="141" t="s">
        <v>62</v>
      </c>
      <c r="E15" s="142" t="s">
        <v>102</v>
      </c>
      <c r="F15" s="139"/>
      <c r="G15" s="147">
        <f>пр.3!F789</f>
        <v>7952.5</v>
      </c>
      <c r="H15" s="147">
        <f>пр.3!G789</f>
        <v>7951.9</v>
      </c>
      <c r="I15" s="140">
        <f>G15-H15</f>
        <v>0.6000000000003638</v>
      </c>
      <c r="J15" s="250">
        <f>H15/G15*100</f>
        <v>99.992455202766422</v>
      </c>
    </row>
    <row r="16" spans="1:10" ht="15">
      <c r="H16" s="218"/>
      <c r="I16" s="218"/>
      <c r="J16" s="218"/>
    </row>
    <row r="17" spans="8:10">
      <c r="H17" s="219"/>
      <c r="I17" s="219"/>
      <c r="J17" s="219"/>
    </row>
  </sheetData>
  <mergeCells count="5"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view="pageBreakPreview" zoomScale="90" zoomScaleSheetLayoutView="90" workbookViewId="0">
      <selection sqref="A1:H27"/>
    </sheetView>
  </sheetViews>
  <sheetFormatPr defaultColWidth="8.85546875" defaultRowHeight="15"/>
  <cols>
    <col min="1" max="1" width="35.5703125" style="256" customWidth="1"/>
    <col min="2" max="2" width="8.7109375" style="279" customWidth="1"/>
    <col min="3" max="3" width="35" style="256" customWidth="1"/>
    <col min="4" max="4" width="8.5703125" style="256" customWidth="1"/>
    <col min="5" max="5" width="8.42578125" style="256" customWidth="1"/>
    <col min="6" max="6" width="0.42578125" style="256" hidden="1" customWidth="1"/>
    <col min="7" max="8" width="8.85546875" style="256" hidden="1" customWidth="1"/>
    <col min="9" max="16384" width="8.85546875" style="256"/>
  </cols>
  <sheetData>
    <row r="1" spans="1:10">
      <c r="A1" s="316" t="s">
        <v>726</v>
      </c>
      <c r="B1" s="299"/>
      <c r="C1" s="299"/>
      <c r="D1" s="299"/>
      <c r="E1" s="299"/>
      <c r="F1" s="299"/>
      <c r="G1" s="299"/>
      <c r="H1" s="299"/>
      <c r="I1" s="251"/>
      <c r="J1" s="251"/>
    </row>
    <row r="2" spans="1:10">
      <c r="A2" s="316" t="str">
        <f>Пр.9!A2</f>
        <v>к решению Собрания представителей Сусуманского городского округа</v>
      </c>
      <c r="B2" s="299"/>
      <c r="C2" s="299"/>
      <c r="D2" s="299"/>
      <c r="E2" s="299"/>
      <c r="F2" s="299"/>
      <c r="G2" s="299"/>
      <c r="H2" s="299"/>
    </row>
    <row r="3" spans="1:10">
      <c r="A3" s="316" t="str">
        <f>Пр.9!A3</f>
        <v>"Об исполнении бюджета муниципального образования "Сусуманский городской округ" за 2019 год"</v>
      </c>
      <c r="B3" s="299"/>
      <c r="C3" s="299"/>
      <c r="D3" s="299"/>
      <c r="E3" s="299"/>
      <c r="F3" s="299"/>
      <c r="G3" s="299"/>
      <c r="H3" s="299"/>
    </row>
    <row r="4" spans="1:10">
      <c r="A4" s="316" t="str">
        <f>Пр.9!A4</f>
        <v>от 26.06.2020 г. № 348</v>
      </c>
      <c r="B4" s="299"/>
      <c r="C4" s="299"/>
      <c r="D4" s="299"/>
      <c r="E4" s="299"/>
      <c r="F4" s="299"/>
      <c r="G4" s="299"/>
      <c r="H4" s="299"/>
    </row>
    <row r="5" spans="1:10">
      <c r="A5" s="254"/>
      <c r="B5" s="255"/>
      <c r="C5" s="257"/>
      <c r="D5" s="254"/>
      <c r="E5" s="254"/>
      <c r="F5" s="254"/>
      <c r="G5" s="254"/>
    </row>
    <row r="6" spans="1:10">
      <c r="A6" s="319" t="s">
        <v>770</v>
      </c>
      <c r="B6" s="320"/>
      <c r="C6" s="320"/>
      <c r="D6" s="320"/>
      <c r="E6" s="320"/>
      <c r="F6" s="254"/>
      <c r="G6" s="254"/>
    </row>
    <row r="7" spans="1:10">
      <c r="A7" s="320"/>
      <c r="B7" s="320"/>
      <c r="C7" s="320"/>
      <c r="D7" s="320"/>
      <c r="E7" s="320"/>
      <c r="F7" s="254"/>
      <c r="G7" s="254"/>
    </row>
    <row r="8" spans="1:10" hidden="1">
      <c r="A8" s="254"/>
      <c r="B8" s="255"/>
      <c r="C8" s="254"/>
      <c r="D8" s="254"/>
      <c r="E8" s="254"/>
      <c r="F8" s="254"/>
      <c r="G8" s="254"/>
    </row>
    <row r="9" spans="1:10" hidden="1">
      <c r="A9" s="254"/>
      <c r="B9" s="255"/>
      <c r="C9" s="254"/>
      <c r="D9" s="254"/>
      <c r="E9" s="254"/>
      <c r="F9" s="254"/>
      <c r="G9" s="254"/>
    </row>
    <row r="10" spans="1:10">
      <c r="A10" s="321" t="s">
        <v>738</v>
      </c>
      <c r="B10" s="323" t="s">
        <v>739</v>
      </c>
      <c r="C10" s="321" t="s">
        <v>740</v>
      </c>
      <c r="D10" s="321" t="s">
        <v>741</v>
      </c>
      <c r="E10" s="321" t="s">
        <v>742</v>
      </c>
      <c r="F10" s="258"/>
      <c r="G10" s="258"/>
    </row>
    <row r="11" spans="1:10" ht="31.9" customHeight="1">
      <c r="A11" s="322"/>
      <c r="B11" s="324"/>
      <c r="C11" s="322"/>
      <c r="D11" s="322"/>
      <c r="E11" s="322"/>
      <c r="F11" s="258"/>
      <c r="G11" s="258"/>
    </row>
    <row r="12" spans="1:10" ht="19.149999999999999" hidden="1" customHeight="1">
      <c r="A12" s="259"/>
      <c r="B12" s="260"/>
      <c r="C12" s="259"/>
      <c r="D12" s="259"/>
      <c r="E12" s="259"/>
      <c r="F12" s="258"/>
      <c r="G12" s="258"/>
    </row>
    <row r="13" spans="1:10" ht="19.149999999999999" hidden="1" customHeight="1">
      <c r="A13" s="259"/>
      <c r="B13" s="260"/>
      <c r="C13" s="259"/>
      <c r="D13" s="259"/>
      <c r="E13" s="259"/>
      <c r="F13" s="258"/>
      <c r="G13" s="258"/>
    </row>
    <row r="14" spans="1:10" hidden="1">
      <c r="A14" s="261"/>
      <c r="B14" s="262"/>
      <c r="C14" s="263"/>
      <c r="D14" s="264"/>
      <c r="E14" s="264"/>
      <c r="F14" s="254"/>
      <c r="G14" s="254"/>
    </row>
    <row r="15" spans="1:10" hidden="1">
      <c r="A15" s="261"/>
      <c r="B15" s="262"/>
      <c r="C15" s="265"/>
      <c r="D15" s="264"/>
      <c r="E15" s="264"/>
      <c r="F15" s="254"/>
      <c r="G15" s="254"/>
    </row>
    <row r="16" spans="1:10" ht="50.45" customHeight="1">
      <c r="A16" s="266" t="s">
        <v>743</v>
      </c>
      <c r="B16" s="262">
        <v>4316.6000000000004</v>
      </c>
      <c r="C16" s="267" t="s">
        <v>744</v>
      </c>
      <c r="D16" s="264">
        <v>4316.6000000000004</v>
      </c>
      <c r="E16" s="264">
        <v>4316.6000000000004</v>
      </c>
      <c r="F16" s="254"/>
      <c r="G16" s="254"/>
    </row>
    <row r="17" spans="1:8" ht="36" customHeight="1">
      <c r="A17" s="268" t="s">
        <v>745</v>
      </c>
      <c r="B17" s="262">
        <v>1200</v>
      </c>
      <c r="C17" s="266" t="s">
        <v>661</v>
      </c>
      <c r="D17" s="264">
        <v>1200</v>
      </c>
      <c r="E17" s="264">
        <v>1200</v>
      </c>
      <c r="F17" s="254"/>
      <c r="G17" s="254"/>
    </row>
    <row r="18" spans="1:8" ht="40.15" customHeight="1">
      <c r="A18" s="266" t="s">
        <v>746</v>
      </c>
      <c r="B18" s="262">
        <v>625.20000000000005</v>
      </c>
      <c r="C18" s="267" t="s">
        <v>747</v>
      </c>
      <c r="D18" s="264">
        <v>622.1</v>
      </c>
      <c r="E18" s="264">
        <v>622.1</v>
      </c>
      <c r="F18" s="254"/>
      <c r="G18" s="254"/>
    </row>
    <row r="19" spans="1:8" ht="24" hidden="1">
      <c r="A19" s="266" t="s">
        <v>748</v>
      </c>
      <c r="B19" s="262"/>
      <c r="C19" s="267" t="s">
        <v>749</v>
      </c>
      <c r="D19" s="264">
        <v>0</v>
      </c>
      <c r="E19" s="264">
        <v>0</v>
      </c>
      <c r="F19" s="254"/>
      <c r="G19" s="254"/>
    </row>
    <row r="20" spans="1:8" ht="36.6" customHeight="1">
      <c r="A20" s="266" t="s">
        <v>750</v>
      </c>
      <c r="B20" s="262">
        <v>100</v>
      </c>
      <c r="C20" s="267" t="s">
        <v>751</v>
      </c>
      <c r="D20" s="264">
        <v>100</v>
      </c>
      <c r="E20" s="264">
        <v>100</v>
      </c>
      <c r="F20" s="254"/>
      <c r="G20" s="254"/>
    </row>
    <row r="21" spans="1:8" ht="36.6" customHeight="1">
      <c r="A21" s="266" t="s">
        <v>752</v>
      </c>
      <c r="B21" s="262">
        <v>100</v>
      </c>
      <c r="C21" s="266" t="s">
        <v>753</v>
      </c>
      <c r="D21" s="264">
        <v>100</v>
      </c>
      <c r="E21" s="264">
        <v>100</v>
      </c>
      <c r="F21" s="254"/>
      <c r="G21" s="254"/>
    </row>
    <row r="22" spans="1:8" ht="48">
      <c r="A22" s="266" t="s">
        <v>764</v>
      </c>
      <c r="B22" s="262">
        <v>60</v>
      </c>
      <c r="C22" s="269" t="s">
        <v>754</v>
      </c>
      <c r="D22" s="264">
        <v>60</v>
      </c>
      <c r="E22" s="264">
        <v>60</v>
      </c>
      <c r="F22" s="254"/>
      <c r="G22" s="254"/>
    </row>
    <row r="23" spans="1:8" ht="46.15" customHeight="1">
      <c r="A23" s="266" t="s">
        <v>755</v>
      </c>
      <c r="B23" s="262">
        <v>100</v>
      </c>
      <c r="C23" s="266" t="s">
        <v>756</v>
      </c>
      <c r="D23" s="264">
        <v>100</v>
      </c>
      <c r="E23" s="264">
        <v>100</v>
      </c>
      <c r="F23" s="254"/>
      <c r="G23" s="254"/>
    </row>
    <row r="24" spans="1:8" ht="37.9" customHeight="1">
      <c r="A24" s="266" t="s">
        <v>752</v>
      </c>
      <c r="B24" s="262">
        <v>450</v>
      </c>
      <c r="C24" s="266" t="s">
        <v>757</v>
      </c>
      <c r="D24" s="264">
        <v>450</v>
      </c>
      <c r="E24" s="264">
        <v>450</v>
      </c>
      <c r="F24" s="254"/>
      <c r="G24" s="254"/>
    </row>
    <row r="25" spans="1:8" ht="36.6" customHeight="1">
      <c r="A25" s="266" t="s">
        <v>758</v>
      </c>
      <c r="B25" s="262">
        <v>80</v>
      </c>
      <c r="C25" s="266" t="s">
        <v>759</v>
      </c>
      <c r="D25" s="264">
        <v>80</v>
      </c>
      <c r="E25" s="264">
        <v>80</v>
      </c>
      <c r="F25" s="254"/>
      <c r="G25" s="254"/>
    </row>
    <row r="26" spans="1:8" ht="41.45" customHeight="1">
      <c r="A26" s="266" t="s">
        <v>506</v>
      </c>
      <c r="B26" s="262">
        <f>584.5-3.1</f>
        <v>581.4</v>
      </c>
      <c r="C26" s="266" t="s">
        <v>760</v>
      </c>
      <c r="D26" s="264">
        <v>0</v>
      </c>
      <c r="E26" s="264">
        <v>0</v>
      </c>
      <c r="F26" s="254"/>
      <c r="G26" s="254"/>
    </row>
    <row r="27" spans="1:8" s="274" customFormat="1">
      <c r="A27" s="254" t="s">
        <v>763</v>
      </c>
      <c r="B27" s="271">
        <f>B24+B23+B22+B21+B20+B16+B26+B18+B19+B25+B17</f>
        <v>7613.2</v>
      </c>
      <c r="C27" s="272" t="s">
        <v>761</v>
      </c>
      <c r="D27" s="272">
        <f>D24+D23+D22+D21+D20+D16+D26+D18+D19+D25+D17</f>
        <v>7028.7000000000007</v>
      </c>
      <c r="E27" s="272">
        <f>E24+E23+E22+E21+E20+E16+E26+E18+E19+E25+E17</f>
        <v>7028.7000000000007</v>
      </c>
      <c r="F27" s="270"/>
      <c r="G27" s="270"/>
      <c r="H27" s="273"/>
    </row>
    <row r="28" spans="1:8">
      <c r="A28" s="254"/>
      <c r="B28" s="255"/>
      <c r="C28" s="254"/>
      <c r="D28" s="254"/>
      <c r="E28" s="254"/>
      <c r="F28" s="254"/>
      <c r="G28" s="254"/>
    </row>
    <row r="29" spans="1:8">
      <c r="A29" s="254"/>
      <c r="B29" s="275"/>
      <c r="C29" s="254"/>
      <c r="D29" s="276"/>
      <c r="E29" s="254"/>
      <c r="F29" s="254"/>
      <c r="G29" s="254"/>
      <c r="H29" s="277"/>
    </row>
    <row r="30" spans="1:8">
      <c r="A30" s="254"/>
      <c r="B30" s="278"/>
      <c r="C30" s="254"/>
      <c r="D30" s="254"/>
      <c r="E30" s="254"/>
      <c r="F30" s="254"/>
      <c r="G30" s="254"/>
    </row>
    <row r="31" spans="1:8">
      <c r="A31" s="254"/>
      <c r="B31" s="255"/>
      <c r="C31" s="254"/>
      <c r="D31" s="254"/>
      <c r="E31" s="254"/>
      <c r="F31" s="254"/>
      <c r="G31" s="254"/>
    </row>
    <row r="32" spans="1:8">
      <c r="A32" s="254"/>
      <c r="B32" s="255"/>
      <c r="C32" s="254"/>
      <c r="D32" s="254"/>
      <c r="E32" s="254"/>
      <c r="F32" s="254"/>
      <c r="G32" s="254"/>
    </row>
    <row r="33" spans="1:7">
      <c r="A33" s="254"/>
      <c r="B33" s="255"/>
      <c r="C33" s="254"/>
      <c r="D33" s="254"/>
      <c r="E33" s="254"/>
      <c r="F33" s="254"/>
      <c r="G33" s="254"/>
    </row>
  </sheetData>
  <mergeCells count="10">
    <mergeCell ref="A10:A11"/>
    <mergeCell ref="B10:B11"/>
    <mergeCell ref="C10:C11"/>
    <mergeCell ref="D10:D11"/>
    <mergeCell ref="E10:E11"/>
    <mergeCell ref="A1:H1"/>
    <mergeCell ref="A2:H2"/>
    <mergeCell ref="A3:H3"/>
    <mergeCell ref="A4:H4"/>
    <mergeCell ref="A6:E7"/>
  </mergeCells>
  <pageMargins left="0.70866141732283472" right="0" top="0.74803149606299213" bottom="0.74803149606299213" header="0.31496062992125984" footer="0.31496062992125984"/>
  <pageSetup paperSize="9" scale="98" orientation="portrait" r:id="rId1"/>
  <colBreaks count="1" manualBreakCount="1">
    <brk id="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пр2 по разд</vt:lpstr>
      <vt:lpstr>пр.3</vt:lpstr>
      <vt:lpstr>пр.4 вед.стр.</vt:lpstr>
      <vt:lpstr>МП пр.5</vt:lpstr>
      <vt:lpstr>пр.6 ист.</vt:lpstr>
      <vt:lpstr>пр.7</vt:lpstr>
      <vt:lpstr>пр.8</vt:lpstr>
      <vt:lpstr>Пр.9</vt:lpstr>
      <vt:lpstr>пр.10</vt:lpstr>
      <vt:lpstr>пр.11</vt:lpstr>
      <vt:lpstr>'пр.4 вед.стр.'!Заголовки_для_печати</vt:lpstr>
      <vt:lpstr>'МП пр.5'!Область_печати</vt:lpstr>
      <vt:lpstr>пр.10!Область_печати</vt:lpstr>
      <vt:lpstr>пр.3!Область_печати</vt:lpstr>
      <vt:lpstr>'пр.4 вед.стр.'!Область_печати</vt:lpstr>
      <vt:lpstr>'пр.6 ист.'!Область_печати</vt:lpstr>
      <vt:lpstr>пр.7!Область_печати</vt:lpstr>
      <vt:lpstr>пр.8!Область_печати</vt:lpstr>
      <vt:lpstr>Пр.9!Область_печати</vt:lpstr>
      <vt:lpstr>'пр2 по разд'!Область_печати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</dc:creator>
  <cp:lastModifiedBy>Пользователь</cp:lastModifiedBy>
  <cp:lastPrinted>2020-06-28T23:51:34Z</cp:lastPrinted>
  <dcterms:created xsi:type="dcterms:W3CDTF">2004-12-28T06:12:23Z</dcterms:created>
  <dcterms:modified xsi:type="dcterms:W3CDTF">2020-06-28T23:54:20Z</dcterms:modified>
</cp:coreProperties>
</file>